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vml" ContentType="application/vnd.openxmlformats-officedocument.vmlDrawing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externalLinks/externalLink1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comments1.xml" ContentType="application/vnd.openxmlformats-officedocument.spreadsheetml.comments+xml"/>
  <Override PartName="/xl/threadedComments/threadedComment1.xml" ContentType="application/vnd.ms-excel.threadedcomments+xml"/>
  <Override PartName="/xl/comments2.xml" ContentType="application/vnd.openxmlformats-officedocument.spreadsheetml.comments+xml"/>
  <Override PartName="/xl/threadedComments/threadedComment2.xml" ContentType="application/vnd.ms-excel.threadedcomments+xml"/>
  <Override PartName="/xl/comments3.xml" ContentType="application/vnd.openxmlformats-officedocument.spreadsheetml.comments+xml"/>
  <Override PartName="/xl/threadedComments/threadedComment3.xml" ContentType="application/vnd.ms-excel.threadedcomments+xml"/>
  <Override PartName="/xl/persons/person.xml" ContentType="application/vnd.ms-excel.person+xml"/>
  <Override PartName="/xl/calcChain.xml" ContentType="application/vnd.openxmlformats-officedocument.spreadsheetml.calcChain+xml"/>
  <Override PartName="/customXml/itemProps1.xml" ContentType="application/vnd.openxmlformats-officedocument.customXmlProperties+xml"/>
  <Override PartName="/customXml/itemProps2.xml" ContentType="application/vnd.openxmlformats-officedocument.customXmlProperties+xml"/>
  <Override PartName="/customXml/itemProps3.xml" ContentType="application/vnd.openxmlformats-officedocument.customXmlProperties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5" rupBuild="26130"/>
  <workbookPr codeName="ThisWorkbook" autoCompressPictures="0" defaultThemeVersion="124226"/>
  <mc:AlternateContent xmlns:mc="http://schemas.openxmlformats.org/markup-compatibility/2006">
    <mc:Choice Requires="x15">
      <x15ac:absPath xmlns:x15ac="http://schemas.microsoft.com/office/spreadsheetml/2010/11/ac" url="C:\Users\vanviasa\Downloads\"/>
    </mc:Choice>
  </mc:AlternateContent>
  <xr:revisionPtr revIDLastSave="0" documentId="8_{12D76E21-84CB-4C96-88B0-A40C067A5FD0}" xr6:coauthVersionLast="47" xr6:coauthVersionMax="47" xr10:uidLastSave="{00000000-0000-0000-0000-000000000000}"/>
  <workbookProtection workbookAlgorithmName="SHA-512" workbookHashValue="BhIir+P5hXJYPFCPHON4j/2Mso/RdpMSnhG3N/lChi+4chf4Zvf0Flm86nJz4I9iP70UjSzxv9ZXAVeNJf4y5g==" workbookSaltValue="khyE7C9JYV+bViXBeVnWhA==" workbookSpinCount="100000" lockStructure="1"/>
  <bookViews>
    <workbookView xWindow="-28920" yWindow="-120" windowWidth="29040" windowHeight="15720" tabRatio="848" xr2:uid="{00000000-000D-0000-FFFF-FFFF00000000}"/>
  </bookViews>
  <sheets>
    <sheet name="Infatrini Calculator desktop" sheetId="1" r:id="rId1"/>
    <sheet name="List_Validations_Cross_Ref" sheetId="7" state="hidden" r:id="rId2"/>
    <sheet name="Neocate LCP" sheetId="8" state="hidden" r:id="rId3"/>
    <sheet name="Neocate Spoon" sheetId="9" state="hidden" r:id="rId4"/>
    <sheet name="Neocate Junior" sheetId="10" state="hidden" r:id="rId5"/>
    <sheet name="Neocate Syneo" sheetId="12" state="hidden" r:id="rId6"/>
    <sheet name="0-5 maanden" sheetId="2" state="hidden" r:id="rId7"/>
    <sheet name="Infatrini poeder oplossingen" sheetId="14" state="hidden" r:id="rId8"/>
    <sheet name="Sheet1" sheetId="17" state="hidden" r:id="rId9"/>
    <sheet name="nutr demand all ages" sheetId="3" state="hidden" r:id="rId10"/>
    <sheet name="1-3 jaar" sheetId="4" state="hidden" r:id="rId11"/>
    <sheet name=" 4-8 jaar" sheetId="5" state="hidden" r:id="rId12"/>
    <sheet name="9-13 jaar" sheetId="6" state="hidden" r:id="rId13"/>
    <sheet name="14-18 jaar" sheetId="11" state="hidden" r:id="rId14"/>
    <sheet name="Infatrini poeder" sheetId="13" state="hidden" r:id="rId15"/>
    <sheet name="Infatrini liquid" sheetId="15" state="hidden" r:id="rId16"/>
    <sheet name="Infatrini peptisorb" sheetId="16" state="hidden" r:id="rId17"/>
  </sheets>
  <externalReferences>
    <externalReference r:id="rId18"/>
  </externalReferences>
  <definedNames>
    <definedName name="_xlnm._FilterDatabase" localSheetId="9" hidden="1">'nutr demand all ages'!$A$2:$N$253</definedName>
    <definedName name="NeoJun" localSheetId="13">INDIRECT([1]List_Validations_Cross_Ref!$K$29)</definedName>
    <definedName name="NeoLCP" localSheetId="13">INDIRECT([1]List_Validations_Cross_Ref!$K$27)</definedName>
    <definedName name="NeoSpoon" localSheetId="13">INDIRECT([1]List_Validations_Cross_Ref!$K$28)</definedName>
    <definedName name="PackMatch">INDEX(Sheet1!$C$4:$C$7,MATCH('Infatrini Calculator desktop'!$D$5,Sheet1!$B$4:$B$7,0))</definedName>
    <definedName name="_xlnm.Print_Area" localSheetId="0">'Infatrini Calculator desktop'!$C$1:$V$45</definedName>
  </definedNames>
  <calcPr calcId="191028" calcOnSave="0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  <ext xmlns:mx="http://schemas.microsoft.com/office/mac/excel/2008/main" uri="{7523E5D3-25F3-A5E0-1632-64F254C22452}">
      <mx:ArchID Flags="2"/>
    </ext>
  </extLst>
</workbook>
</file>

<file path=xl/calcChain.xml><?xml version="1.0" encoding="utf-8"?>
<calcChain xmlns="http://schemas.openxmlformats.org/spreadsheetml/2006/main">
  <c r="I19" i="1" l="1"/>
  <c r="T12" i="1" l="1"/>
  <c r="H39" i="1" l="1"/>
  <c r="F38" i="1"/>
  <c r="O39" i="1"/>
  <c r="O38" i="1"/>
  <c r="O37" i="1"/>
  <c r="H37" i="1"/>
  <c r="F37" i="1"/>
  <c r="O36" i="1"/>
  <c r="H36" i="1"/>
  <c r="F36" i="1"/>
  <c r="O35" i="1"/>
  <c r="H35" i="1"/>
  <c r="F35" i="1"/>
  <c r="O34" i="1"/>
  <c r="H34" i="1"/>
  <c r="F34" i="1"/>
  <c r="O33" i="1"/>
  <c r="H33" i="1"/>
  <c r="F33" i="1"/>
  <c r="O32" i="1"/>
  <c r="H32" i="1"/>
  <c r="F32" i="1"/>
  <c r="O31" i="1"/>
  <c r="H31" i="1"/>
  <c r="F31" i="1"/>
  <c r="O30" i="1"/>
  <c r="H30" i="1"/>
  <c r="F30" i="1"/>
  <c r="O29" i="1"/>
  <c r="H29" i="1"/>
  <c r="F29" i="1"/>
  <c r="O28" i="1"/>
  <c r="H28" i="1"/>
  <c r="F28" i="1"/>
  <c r="O27" i="1"/>
  <c r="F27" i="1"/>
  <c r="O26" i="1"/>
  <c r="O22" i="1"/>
  <c r="O21" i="1"/>
  <c r="O20" i="1"/>
  <c r="O19" i="1"/>
  <c r="O18" i="1"/>
  <c r="I18" i="1"/>
  <c r="D18" i="1"/>
  <c r="O17" i="1"/>
  <c r="O16" i="1"/>
  <c r="O15" i="1"/>
  <c r="O14" i="1"/>
  <c r="O13" i="1"/>
  <c r="O12" i="1"/>
  <c r="O11" i="1"/>
  <c r="O10" i="1"/>
  <c r="O9" i="1"/>
  <c r="O8" i="1"/>
  <c r="T4" i="1"/>
  <c r="T3" i="1"/>
  <c r="C1" i="17" l="1"/>
  <c r="I38" i="1" l="1"/>
  <c r="I37" i="1"/>
  <c r="I36" i="1"/>
  <c r="I35" i="1"/>
  <c r="I34" i="1"/>
  <c r="I33" i="1"/>
  <c r="I32" i="1"/>
  <c r="I31" i="1"/>
  <c r="A7" i="1" l="1"/>
  <c r="C41" i="7"/>
  <c r="C40" i="7"/>
  <c r="C39" i="7"/>
  <c r="C38" i="7"/>
  <c r="B12" i="14"/>
  <c r="B9" i="14"/>
  <c r="B7" i="14"/>
  <c r="B4" i="14"/>
  <c r="B3" i="14"/>
  <c r="B2" i="14"/>
  <c r="F39" i="1" s="1"/>
  <c r="G19" i="1" l="1"/>
  <c r="G28" i="1"/>
  <c r="P21" i="1" s="1"/>
  <c r="C223" i="3"/>
  <c r="C224" i="3"/>
  <c r="C225" i="3"/>
  <c r="C226" i="3"/>
  <c r="C227" i="3"/>
  <c r="C228" i="3"/>
  <c r="C229" i="3"/>
  <c r="C230" i="3"/>
  <c r="C231" i="3"/>
  <c r="C232" i="3"/>
  <c r="C233" i="3"/>
  <c r="C234" i="3"/>
  <c r="C235" i="3"/>
  <c r="C236" i="3"/>
  <c r="C237" i="3"/>
  <c r="C238" i="3"/>
  <c r="C239" i="3"/>
  <c r="C240" i="3"/>
  <c r="C241" i="3"/>
  <c r="C242" i="3"/>
  <c r="C243" i="3"/>
  <c r="C244" i="3"/>
  <c r="C245" i="3"/>
  <c r="C246" i="3"/>
  <c r="C247" i="3"/>
  <c r="C248" i="3"/>
  <c r="C249" i="3"/>
  <c r="C250" i="3"/>
  <c r="C251" i="3"/>
  <c r="C252" i="3"/>
  <c r="C253" i="3"/>
  <c r="C72" i="3"/>
  <c r="C73" i="3"/>
  <c r="C74" i="3"/>
  <c r="C75" i="3"/>
  <c r="C76" i="3"/>
  <c r="C77" i="3"/>
  <c r="C78" i="3"/>
  <c r="C79" i="3"/>
  <c r="C80" i="3"/>
  <c r="C81" i="3"/>
  <c r="C82" i="3"/>
  <c r="C83" i="3"/>
  <c r="C84" i="3"/>
  <c r="C85" i="3"/>
  <c r="C86" i="3"/>
  <c r="C87" i="3"/>
  <c r="C88" i="3"/>
  <c r="C89" i="3"/>
  <c r="C90" i="3"/>
  <c r="C91" i="3"/>
  <c r="C92" i="3"/>
  <c r="C93" i="3"/>
  <c r="C94" i="3"/>
  <c r="C95" i="3"/>
  <c r="C96" i="3"/>
  <c r="C97" i="3"/>
  <c r="C98" i="3"/>
  <c r="C99" i="3"/>
  <c r="C100" i="3"/>
  <c r="C101" i="3"/>
  <c r="C102" i="3"/>
  <c r="C103" i="3"/>
  <c r="C104" i="3"/>
  <c r="C105" i="3"/>
  <c r="C106" i="3"/>
  <c r="C107" i="3"/>
  <c r="C108" i="3"/>
  <c r="C109" i="3"/>
  <c r="C110" i="3"/>
  <c r="C111" i="3"/>
  <c r="C112" i="3"/>
  <c r="C113" i="3"/>
  <c r="C114" i="3"/>
  <c r="C115" i="3"/>
  <c r="C116" i="3"/>
  <c r="C117" i="3"/>
  <c r="C118" i="3"/>
  <c r="C119" i="3"/>
  <c r="C120" i="3"/>
  <c r="C121" i="3"/>
  <c r="C122" i="3"/>
  <c r="C123" i="3"/>
  <c r="C124" i="3"/>
  <c r="C125" i="3"/>
  <c r="C126" i="3"/>
  <c r="C127" i="3"/>
  <c r="C128" i="3"/>
  <c r="C129" i="3"/>
  <c r="C130" i="3"/>
  <c r="C131" i="3"/>
  <c r="C132" i="3"/>
  <c r="C133" i="3"/>
  <c r="C134" i="3"/>
  <c r="C135" i="3"/>
  <c r="C136" i="3"/>
  <c r="C137" i="3"/>
  <c r="C138" i="3"/>
  <c r="C139" i="3"/>
  <c r="C140" i="3"/>
  <c r="C141" i="3"/>
  <c r="C142" i="3"/>
  <c r="C143" i="3"/>
  <c r="C144" i="3"/>
  <c r="C145" i="3"/>
  <c r="C146" i="3"/>
  <c r="C147" i="3"/>
  <c r="C148" i="3"/>
  <c r="C149" i="3"/>
  <c r="C150" i="3"/>
  <c r="C151" i="3"/>
  <c r="C152" i="3"/>
  <c r="C153" i="3"/>
  <c r="C154" i="3"/>
  <c r="C155" i="3"/>
  <c r="C156" i="3"/>
  <c r="C157" i="3"/>
  <c r="C158" i="3"/>
  <c r="C159" i="3"/>
  <c r="C160" i="3"/>
  <c r="C161" i="3"/>
  <c r="C162" i="3"/>
  <c r="C163" i="3"/>
  <c r="C164" i="3"/>
  <c r="C165" i="3"/>
  <c r="C166" i="3"/>
  <c r="C167" i="3"/>
  <c r="C168" i="3"/>
  <c r="C169" i="3"/>
  <c r="C170" i="3"/>
  <c r="C171" i="3"/>
  <c r="C172" i="3"/>
  <c r="C173" i="3"/>
  <c r="C174" i="3"/>
  <c r="C175" i="3"/>
  <c r="C176" i="3"/>
  <c r="C177" i="3"/>
  <c r="C178" i="3"/>
  <c r="C179" i="3"/>
  <c r="C180" i="3"/>
  <c r="C181" i="3"/>
  <c r="C182" i="3"/>
  <c r="C183" i="3"/>
  <c r="C184" i="3"/>
  <c r="C185" i="3"/>
  <c r="C186" i="3"/>
  <c r="C187" i="3"/>
  <c r="C188" i="3"/>
  <c r="C189" i="3"/>
  <c r="C190" i="3"/>
  <c r="C191" i="3"/>
  <c r="C192" i="3"/>
  <c r="C193" i="3"/>
  <c r="C194" i="3"/>
  <c r="C195" i="3"/>
  <c r="C196" i="3"/>
  <c r="C197" i="3"/>
  <c r="C198" i="3"/>
  <c r="C199" i="3"/>
  <c r="C200" i="3"/>
  <c r="C201" i="3"/>
  <c r="C202" i="3"/>
  <c r="C203" i="3"/>
  <c r="C204" i="3"/>
  <c r="C205" i="3"/>
  <c r="C206" i="3"/>
  <c r="C207" i="3"/>
  <c r="C208" i="3"/>
  <c r="C209" i="3"/>
  <c r="C210" i="3"/>
  <c r="C211" i="3"/>
  <c r="C212" i="3"/>
  <c r="C213" i="3"/>
  <c r="C214" i="3"/>
  <c r="C215" i="3"/>
  <c r="C216" i="3"/>
  <c r="C217" i="3"/>
  <c r="C218" i="3"/>
  <c r="C219" i="3"/>
  <c r="C220" i="3"/>
  <c r="C221" i="3"/>
  <c r="C222" i="3"/>
  <c r="C16" i="3"/>
  <c r="C17" i="3"/>
  <c r="R10" i="1" s="1"/>
  <c r="C18" i="3"/>
  <c r="C19" i="3"/>
  <c r="C20" i="3"/>
  <c r="C21" i="3"/>
  <c r="C22" i="3"/>
  <c r="C23" i="3"/>
  <c r="C24" i="3"/>
  <c r="C25" i="3"/>
  <c r="C26" i="3"/>
  <c r="C27" i="3"/>
  <c r="C28" i="3"/>
  <c r="C29" i="3"/>
  <c r="C30" i="3"/>
  <c r="C31" i="3"/>
  <c r="C32" i="3"/>
  <c r="C33" i="3"/>
  <c r="C34" i="3"/>
  <c r="C35" i="3"/>
  <c r="C36" i="3"/>
  <c r="C37" i="3"/>
  <c r="C38" i="3"/>
  <c r="C39" i="3"/>
  <c r="C40" i="3"/>
  <c r="C41" i="3"/>
  <c r="C42" i="3"/>
  <c r="C43" i="3"/>
  <c r="C44" i="3"/>
  <c r="C45" i="3"/>
  <c r="C46" i="3"/>
  <c r="C47" i="3"/>
  <c r="C48" i="3"/>
  <c r="C49" i="3"/>
  <c r="C50" i="3"/>
  <c r="C51" i="3"/>
  <c r="C52" i="3"/>
  <c r="C53" i="3"/>
  <c r="C54" i="3"/>
  <c r="C55" i="3"/>
  <c r="C56" i="3"/>
  <c r="C57" i="3"/>
  <c r="C58" i="3"/>
  <c r="C59" i="3"/>
  <c r="C60" i="3"/>
  <c r="C61" i="3"/>
  <c r="C62" i="3"/>
  <c r="C63" i="3"/>
  <c r="C64" i="3"/>
  <c r="C65" i="3"/>
  <c r="C66" i="3"/>
  <c r="C67" i="3"/>
  <c r="C68" i="3"/>
  <c r="C69" i="3"/>
  <c r="C70" i="3"/>
  <c r="C71" i="3"/>
  <c r="C7" i="3"/>
  <c r="C8" i="3"/>
  <c r="C9" i="3"/>
  <c r="C10" i="3"/>
  <c r="C11" i="3"/>
  <c r="C12" i="3"/>
  <c r="C13" i="3"/>
  <c r="C14" i="3"/>
  <c r="C15" i="3"/>
  <c r="C5" i="3"/>
  <c r="C6" i="3"/>
  <c r="C4" i="3"/>
  <c r="A3" i="2"/>
  <c r="B3" i="2"/>
  <c r="C3" i="2"/>
  <c r="D3" i="2"/>
  <c r="E3" i="2"/>
  <c r="F3" i="2"/>
  <c r="G31" i="1" l="1"/>
  <c r="G38" i="1"/>
  <c r="H38" i="1" s="1"/>
  <c r="G33" i="1"/>
  <c r="G37" i="1"/>
  <c r="G34" i="1"/>
  <c r="G32" i="1"/>
  <c r="G35" i="1"/>
  <c r="G36" i="1"/>
  <c r="I30" i="1"/>
  <c r="W33" i="1"/>
  <c r="S33" i="1" s="1"/>
  <c r="R39" i="1"/>
  <c r="R31" i="1"/>
  <c r="W11" i="1"/>
  <c r="S11" i="1" s="1"/>
  <c r="W19" i="1"/>
  <c r="S19" i="1" s="1"/>
  <c r="Q18" i="1"/>
  <c r="Q10" i="1"/>
  <c r="Q33" i="1"/>
  <c r="Q37" i="1"/>
  <c r="R26" i="1"/>
  <c r="R17" i="1"/>
  <c r="R13" i="1"/>
  <c r="W38" i="1"/>
  <c r="T38" i="1" s="1"/>
  <c r="W29" i="1"/>
  <c r="S29" i="1" s="1"/>
  <c r="R35" i="1"/>
  <c r="R27" i="1"/>
  <c r="W15" i="1"/>
  <c r="S15" i="1" s="1"/>
  <c r="Q14" i="1"/>
  <c r="Q28" i="1"/>
  <c r="I29" i="1"/>
  <c r="W37" i="1"/>
  <c r="S37" i="1" s="1"/>
  <c r="W32" i="1"/>
  <c r="S32" i="1" s="1"/>
  <c r="W28" i="1"/>
  <c r="T28" i="1" s="1"/>
  <c r="R38" i="1"/>
  <c r="R34" i="1"/>
  <c r="R30" i="1"/>
  <c r="W8" i="1"/>
  <c r="T8" i="1" s="1"/>
  <c r="W12" i="1"/>
  <c r="W16" i="1"/>
  <c r="T16" i="1" s="1"/>
  <c r="W20" i="1"/>
  <c r="T20" i="1" s="1"/>
  <c r="Q17" i="1"/>
  <c r="Q13" i="1"/>
  <c r="Q9" i="1"/>
  <c r="Q29" i="1"/>
  <c r="Q34" i="1"/>
  <c r="Q38" i="1"/>
  <c r="R8" i="1"/>
  <c r="R20" i="1"/>
  <c r="R16" i="1"/>
  <c r="R12" i="1"/>
  <c r="W26" i="1"/>
  <c r="S26" i="1" s="1"/>
  <c r="W31" i="1"/>
  <c r="S31" i="1" s="1"/>
  <c r="R33" i="1"/>
  <c r="W9" i="1"/>
  <c r="T9" i="1" s="1"/>
  <c r="W17" i="1"/>
  <c r="S17" i="1" s="1"/>
  <c r="Q20" i="1"/>
  <c r="Q12" i="1"/>
  <c r="Q26" i="1"/>
  <c r="Q30" i="1"/>
  <c r="Q35" i="1"/>
  <c r="Q39" i="1"/>
  <c r="R9" i="1"/>
  <c r="R19" i="1"/>
  <c r="R15" i="1"/>
  <c r="R11" i="1"/>
  <c r="I28" i="1"/>
  <c r="W36" i="1"/>
  <c r="S36" i="1" s="1"/>
  <c r="W27" i="1"/>
  <c r="S27" i="1" s="1"/>
  <c r="R37" i="1"/>
  <c r="R29" i="1"/>
  <c r="W13" i="1"/>
  <c r="S13" i="1" s="1"/>
  <c r="W21" i="1"/>
  <c r="Q16" i="1"/>
  <c r="W39" i="1"/>
  <c r="T39" i="1" s="1"/>
  <c r="W34" i="1"/>
  <c r="S34" i="1" s="1"/>
  <c r="W30" i="1"/>
  <c r="S30" i="1" s="1"/>
  <c r="W35" i="1"/>
  <c r="S35" i="1" s="1"/>
  <c r="R36" i="1"/>
  <c r="R32" i="1"/>
  <c r="R28" i="1"/>
  <c r="W10" i="1"/>
  <c r="S10" i="1" s="1"/>
  <c r="W14" i="1"/>
  <c r="S14" i="1" s="1"/>
  <c r="W18" i="1"/>
  <c r="S18" i="1" s="1"/>
  <c r="W22" i="1"/>
  <c r="Q8" i="1"/>
  <c r="Q19" i="1"/>
  <c r="Q15" i="1"/>
  <c r="Q11" i="1"/>
  <c r="Q27" i="1"/>
  <c r="Q31" i="1"/>
  <c r="Q36" i="1"/>
  <c r="Q32" i="1"/>
  <c r="R18" i="1"/>
  <c r="R14" i="1"/>
  <c r="T30" i="1"/>
  <c r="T34" i="1"/>
  <c r="S38" i="1"/>
  <c r="T31" i="1"/>
  <c r="T36" i="1"/>
  <c r="T32" i="1"/>
  <c r="T37" i="1"/>
  <c r="T33" i="1"/>
  <c r="T29" i="1"/>
  <c r="S28" i="1"/>
  <c r="S16" i="1"/>
  <c r="T13" i="1"/>
  <c r="S12" i="1"/>
  <c r="T18" i="1"/>
  <c r="S8" i="1"/>
  <c r="T19" i="1"/>
  <c r="T11" i="1"/>
  <c r="P22" i="1"/>
  <c r="S3" i="1"/>
  <c r="S4" i="1" s="1"/>
  <c r="P26" i="1"/>
  <c r="P38" i="1"/>
  <c r="P34" i="1"/>
  <c r="P30" i="1"/>
  <c r="P8" i="1"/>
  <c r="P19" i="1"/>
  <c r="P15" i="1"/>
  <c r="P11" i="1"/>
  <c r="P39" i="1"/>
  <c r="P35" i="1"/>
  <c r="P37" i="1"/>
  <c r="P33" i="1"/>
  <c r="P29" i="1"/>
  <c r="U29" i="1" s="1"/>
  <c r="P18" i="1"/>
  <c r="P14" i="1"/>
  <c r="P10" i="1"/>
  <c r="P36" i="1"/>
  <c r="P32" i="1"/>
  <c r="P28" i="1"/>
  <c r="P17" i="1"/>
  <c r="P13" i="1"/>
  <c r="P9" i="1"/>
  <c r="P31" i="1"/>
  <c r="P27" i="1"/>
  <c r="P20" i="1"/>
  <c r="P16" i="1"/>
  <c r="P12" i="1"/>
  <c r="A39" i="1"/>
  <c r="A38" i="1"/>
  <c r="A34" i="1"/>
  <c r="A30" i="1"/>
  <c r="A31" i="1"/>
  <c r="A37" i="1"/>
  <c r="A33" i="1"/>
  <c r="A29" i="1"/>
  <c r="A35" i="1"/>
  <c r="A28" i="1"/>
  <c r="A36" i="1"/>
  <c r="A32" i="1"/>
  <c r="U13" i="1" l="1"/>
  <c r="U36" i="1"/>
  <c r="U31" i="1"/>
  <c r="U33" i="1"/>
  <c r="U34" i="1"/>
  <c r="J33" i="1"/>
  <c r="L33" i="1" s="1"/>
  <c r="K33" i="1"/>
  <c r="K34" i="1"/>
  <c r="J34" i="1"/>
  <c r="L34" i="1" s="1"/>
  <c r="K36" i="1"/>
  <c r="J36" i="1"/>
  <c r="L36" i="1" s="1"/>
  <c r="K38" i="1"/>
  <c r="J38" i="1"/>
  <c r="L38" i="1" s="1"/>
  <c r="J37" i="1"/>
  <c r="L37" i="1" s="1"/>
  <c r="K37" i="1"/>
  <c r="J31" i="1"/>
  <c r="L31" i="1" s="1"/>
  <c r="K31" i="1"/>
  <c r="J35" i="1"/>
  <c r="L35" i="1" s="1"/>
  <c r="K35" i="1"/>
  <c r="K32" i="1"/>
  <c r="J32" i="1"/>
  <c r="L32" i="1" s="1"/>
  <c r="U38" i="1"/>
  <c r="T15" i="1"/>
  <c r="U15" i="1" s="1"/>
  <c r="U30" i="1"/>
  <c r="U37" i="1"/>
  <c r="U32" i="1"/>
  <c r="U35" i="1"/>
  <c r="T17" i="1"/>
  <c r="S20" i="1"/>
  <c r="U20" i="1" s="1"/>
  <c r="S9" i="1"/>
  <c r="T35" i="1"/>
  <c r="U18" i="1"/>
  <c r="S39" i="1"/>
  <c r="U39" i="1" s="1"/>
  <c r="T10" i="1"/>
  <c r="U21" i="1"/>
  <c r="T26" i="1"/>
  <c r="U17" i="1"/>
  <c r="T14" i="1"/>
  <c r="U14" i="1" s="1"/>
  <c r="U22" i="1"/>
  <c r="T27" i="1"/>
  <c r="U16" i="1"/>
  <c r="U10" i="1"/>
  <c r="U11" i="1"/>
  <c r="U12" i="1"/>
  <c r="U28" i="1"/>
  <c r="U19" i="1"/>
  <c r="K28" i="1"/>
  <c r="J28" i="1"/>
  <c r="J29" i="1"/>
  <c r="K29" i="1"/>
  <c r="K30" i="1"/>
  <c r="J30" i="1"/>
  <c r="G18" i="1"/>
  <c r="G27" i="1" s="1"/>
  <c r="I5" i="2"/>
  <c r="I6" i="2"/>
  <c r="I7" i="2"/>
  <c r="I8" i="2"/>
  <c r="I9" i="2"/>
  <c r="I10" i="2"/>
  <c r="I11" i="2"/>
  <c r="I12" i="2"/>
  <c r="I13" i="2"/>
  <c r="I14" i="2"/>
  <c r="I15" i="2"/>
  <c r="I16" i="2"/>
  <c r="I17" i="2"/>
  <c r="I18" i="2"/>
  <c r="I19" i="2"/>
  <c r="I21" i="2"/>
  <c r="I23" i="2"/>
  <c r="I24" i="2"/>
  <c r="I25" i="2"/>
  <c r="I26" i="2"/>
  <c r="I27" i="2"/>
  <c r="I28" i="2"/>
  <c r="I29" i="2"/>
  <c r="I30" i="2"/>
  <c r="I31" i="2"/>
  <c r="I33" i="2"/>
  <c r="I34" i="2"/>
  <c r="I35" i="2"/>
  <c r="I46" i="2"/>
  <c r="I48" i="2"/>
  <c r="F7" i="7" l="1"/>
  <c r="G29" i="1"/>
  <c r="G30" i="1"/>
  <c r="A21" i="1"/>
  <c r="D10" i="1" l="1"/>
  <c r="O25" i="1" l="1"/>
  <c r="O7" i="1"/>
  <c r="F13" i="11"/>
  <c r="E13" i="11"/>
  <c r="F47" i="2" l="1"/>
  <c r="E47" i="2"/>
  <c r="F45" i="2"/>
  <c r="E45" i="2"/>
  <c r="F44" i="2"/>
  <c r="E44" i="2"/>
  <c r="F43" i="2"/>
  <c r="E43" i="2"/>
  <c r="F42" i="2"/>
  <c r="E42" i="2"/>
  <c r="F41" i="2"/>
  <c r="E41" i="2"/>
  <c r="F40" i="2"/>
  <c r="E40" i="2"/>
  <c r="F39" i="2"/>
  <c r="E39" i="2"/>
  <c r="F38" i="2"/>
  <c r="E38" i="2"/>
  <c r="E37" i="2"/>
  <c r="F37" i="2"/>
  <c r="F36" i="2"/>
  <c r="E36" i="2"/>
  <c r="F32" i="2"/>
  <c r="E32" i="2"/>
  <c r="F22" i="2"/>
  <c r="E22" i="2"/>
  <c r="F20" i="2"/>
  <c r="E20" i="2"/>
  <c r="A22" i="1"/>
  <c r="I32" i="2" l="1"/>
  <c r="I45" i="2"/>
  <c r="I20" i="2"/>
  <c r="I39" i="2"/>
  <c r="I43" i="2"/>
  <c r="I41" i="2"/>
  <c r="I22" i="2"/>
  <c r="I38" i="2"/>
  <c r="I42" i="2"/>
  <c r="I47" i="2"/>
  <c r="I37" i="2"/>
  <c r="I36" i="2"/>
  <c r="I40" i="2"/>
  <c r="I44" i="2"/>
  <c r="R25" i="1"/>
  <c r="R7" i="1"/>
  <c r="I27" i="1"/>
  <c r="A23" i="1" l="1"/>
  <c r="D15" i="1" l="1"/>
  <c r="N3" i="1"/>
  <c r="G3" i="2"/>
  <c r="H3" i="2"/>
  <c r="F2" i="7"/>
  <c r="F3" i="7"/>
  <c r="F4" i="7"/>
  <c r="F5" i="7"/>
  <c r="F6" i="7"/>
  <c r="F14" i="6"/>
  <c r="E14" i="6"/>
  <c r="F13" i="6"/>
  <c r="E13" i="6"/>
  <c r="F12" i="6"/>
  <c r="E12" i="6"/>
  <c r="F14" i="5"/>
  <c r="E14" i="5"/>
  <c r="F13" i="5"/>
  <c r="E13" i="5"/>
  <c r="F12" i="5"/>
  <c r="E12" i="5"/>
  <c r="K17" i="1"/>
  <c r="A45" i="1" l="1"/>
  <c r="U26" i="1"/>
  <c r="U27" i="1"/>
  <c r="L29" i="1" l="1"/>
  <c r="U9" i="1"/>
  <c r="U8" i="1"/>
  <c r="L28" i="1"/>
  <c r="L30" i="1"/>
  <c r="P25" i="1" l="1"/>
  <c r="P7" i="1"/>
</calcChain>
</file>

<file path=xl/comments1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tc={25111191-A8B1-41E3-A2A5-378B6E57347D}</author>
  </authors>
  <commentList>
    <comment ref="A48" authorId="0" shapeId="0" xr:uid="{25111191-A8B1-41E3-A2A5-378B6E57347D}">
      <text>
        <t>[Threaded comment]
Your version of Excel allows you to read this threaded comment; however, any edits to it will get removed if the file is opened in a newer version of Excel. Learn more: https://go.microsoft.com/fwlink/?linkid=870924
Comment:
    ! constante; wijzigt niet als concentratie wijzigt.</t>
      </text>
    </comment>
  </commentList>
</comments>
</file>

<file path=xl/comments2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tc={B9DFDA48-8391-45D8-9DA4-35065D607FE4}</author>
  </authors>
  <commentList>
    <comment ref="A52" authorId="0" shapeId="0" xr:uid="{B9DFDA48-8391-45D8-9DA4-35065D607FE4}">
      <text>
        <t>[Threaded comment]
Your version of Excel allows you to read this threaded comment; however, any edits to it will get removed if the file is opened in a newer version of Excel. Learn more: https://go.microsoft.com/fwlink/?linkid=870924
Comment:
    ! constante; wijzigt niet als concentratie wijzigt.</t>
      </text>
    </comment>
  </commentList>
</comments>
</file>

<file path=xl/comments3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tc={4FB37511-8A3B-4E2B-B657-6BB37C60D42F}</author>
  </authors>
  <commentList>
    <comment ref="A52" authorId="0" shapeId="0" xr:uid="{4FB37511-8A3B-4E2B-B657-6BB37C60D42F}">
      <text>
        <t>[Threaded comment]
Your version of Excel allows you to read this threaded comment; however, any edits to it will get removed if the file is opened in a newer version of Excel. Learn more: https://go.microsoft.com/fwlink/?linkid=870924
Comment:
    ! constante; wijzigt niet als concentratie wijzigt.</t>
      </text>
    </comment>
  </commentList>
</comments>
</file>

<file path=xl/sharedStrings.xml><?xml version="1.0" encoding="utf-8"?>
<sst xmlns="http://schemas.openxmlformats.org/spreadsheetml/2006/main" count="2799" uniqueCount="188">
  <si>
    <t>INFATRINI Voedingswaarden Calculator</t>
  </si>
  <si>
    <t>© 2021 Nutricia                                                          The Netherlands.                                            All Rights Reserved.</t>
  </si>
  <si>
    <r>
      <t xml:space="preserve">Gebruik de velden met </t>
    </r>
    <r>
      <rPr>
        <sz val="12"/>
        <color rgb="FF0088A5"/>
        <rFont val="Lato"/>
        <family val="2"/>
      </rPr>
      <t>Turquoise</t>
    </r>
    <r>
      <rPr>
        <sz val="12"/>
        <color rgb="FF2E065C"/>
        <rFont val="Lato"/>
        <family val="2"/>
      </rPr>
      <t xml:space="preserve"> gekleurde tekst om de file volledig en juist in te vullen</t>
    </r>
  </si>
  <si>
    <t>Kies hieronder het product</t>
  </si>
  <si>
    <t>Infatrini in poedervorm</t>
  </si>
  <si>
    <t>Vitamines</t>
  </si>
  <si>
    <t>% ADH</t>
  </si>
  <si>
    <t>A</t>
  </si>
  <si>
    <t>D</t>
  </si>
  <si>
    <t>E</t>
  </si>
  <si>
    <t>K</t>
  </si>
  <si>
    <t>Thiamine</t>
  </si>
  <si>
    <t>Riboflavine</t>
  </si>
  <si>
    <t>Voer het aantal calorieën in waarvoor u de voedingswaarden van</t>
  </si>
  <si>
    <t>B6</t>
  </si>
  <si>
    <t>B12</t>
  </si>
  <si>
    <t>wilt bekijken</t>
  </si>
  <si>
    <t>Niacine</t>
  </si>
  <si>
    <t>calorieën</t>
  </si>
  <si>
    <t>Foliumzuur</t>
  </si>
  <si>
    <t>Pantotheenzuur</t>
  </si>
  <si>
    <t>1 kcal/ml (=4 maatschepjes per 90ml)</t>
  </si>
  <si>
    <t>Biotine</t>
  </si>
  <si>
    <t>C</t>
  </si>
  <si>
    <t>Selecteer hieronder de leeftijdgroep &amp; geslacht van de patiënt voor wie u de voedingswaarden wilt bekijken</t>
  </si>
  <si>
    <t>Choline</t>
  </si>
  <si>
    <t>mg</t>
  </si>
  <si>
    <t>Inositol</t>
  </si>
  <si>
    <t>Meisje 0-5 maanden</t>
  </si>
  <si>
    <t>Gewicht</t>
  </si>
  <si>
    <t>kg</t>
  </si>
  <si>
    <t>Mineralen</t>
  </si>
  <si>
    <t>Ca</t>
  </si>
  <si>
    <t>Macronutriënten</t>
  </si>
  <si>
    <t>P</t>
  </si>
  <si>
    <t>Energie</t>
  </si>
  <si>
    <t>Mg</t>
  </si>
  <si>
    <t>Eiwit</t>
  </si>
  <si>
    <t>Fe</t>
  </si>
  <si>
    <t>Vetten</t>
  </si>
  <si>
    <t>Zn</t>
  </si>
  <si>
    <t>MCT</t>
  </si>
  <si>
    <t>Mn</t>
  </si>
  <si>
    <t>Informatie uitsluitend bestemd voor (para) medici.</t>
  </si>
  <si>
    <t>linolzuur</t>
  </si>
  <si>
    <t>Cu</t>
  </si>
  <si>
    <t>α-linoleenzuur</t>
  </si>
  <si>
    <t>I</t>
  </si>
  <si>
    <t>DHA</t>
  </si>
  <si>
    <t>Mo</t>
  </si>
  <si>
    <t>AA</t>
  </si>
  <si>
    <t>Cr</t>
  </si>
  <si>
    <t>Koolhydraten</t>
  </si>
  <si>
    <t>Se</t>
  </si>
  <si>
    <t>Vezels</t>
  </si>
  <si>
    <t>Na</t>
  </si>
  <si>
    <t>Vocht</t>
  </si>
  <si>
    <t xml:space="preserve">K </t>
  </si>
  <si>
    <t>Osmolariteit</t>
  </si>
  <si>
    <t>mOsmol/l</t>
  </si>
  <si>
    <t>Cl</t>
  </si>
  <si>
    <t>GB = gemiddelde behoefte     AH = aanbevolen hoeveelheid     AI = adequate inneming     AB = aanvaardbare bovengrens van inneming</t>
  </si>
  <si>
    <t>*Gezondheidsraad. Voedingsnormen energie, eiwitten, vetten en verteerbare koolhydraten. Den Haag: Gezondheidsraad, 2001; publicatie nr 2001/19. ISBN 90-5549-384-8.</t>
  </si>
  <si>
    <t>*Brink EJ, et al. Aanbevelingen voor vitamines, mineralen en spoorelementen - factsheet.  Den Haag: Voedingscentrum, 2014.</t>
  </si>
  <si>
    <t>***De osmolariteit van alle oplossingen van Infatrini in poedervorm is bepaald door een laboratorium.</t>
  </si>
  <si>
    <t>** Aanbeveling voor zuigelingen van 6-11 maanden</t>
  </si>
  <si>
    <r>
      <t xml:space="preserve">Nutricia Nederland B.V. Postbus 445, 2700 AK Zoetermeer
</t>
    </r>
    <r>
      <rPr>
        <sz val="10"/>
        <color theme="0"/>
        <rFont val="Lato"/>
        <family val="2"/>
      </rPr>
      <t>Wilt u meer informatie of advies?
Neem dan contact op met onze diëtisten van Nutricia Medische Voedingsservice:
internet: www.nutricia.nl
telefoon: 0800-022 33 22 (gratis op werkdagen van 8.30 tot 17.00 uur)
e-mail: medischevoeding@nutricia.com</t>
    </r>
  </si>
  <si>
    <t>Oplossingen</t>
  </si>
  <si>
    <t>Geslacht/leeftijd</t>
  </si>
  <si>
    <t>Meisje</t>
  </si>
  <si>
    <t>0-5 maanden</t>
  </si>
  <si>
    <t>0-5 Maanden</t>
  </si>
  <si>
    <t>0,25 kcal/ml (=1 maatschepje per 90ml)</t>
  </si>
  <si>
    <t>Jongen</t>
  </si>
  <si>
    <t>0,50 kcal/ml (=2 maatschepjes per 90ml)</t>
  </si>
  <si>
    <t>6-11 maanden</t>
  </si>
  <si>
    <t>6-11 Maanden</t>
  </si>
  <si>
    <t>0,75 kcal/ml (=3 maatschepjes per 90ml)</t>
  </si>
  <si>
    <t>12-18 maanden</t>
  </si>
  <si>
    <t>12-18 Maanden</t>
  </si>
  <si>
    <t>1,22 kcal/ml (=5 maatschepjes per 90ml)</t>
  </si>
  <si>
    <t>1,50 kcal/ml (=6 maatschepjes per 90ml)</t>
  </si>
  <si>
    <t>RA tekst</t>
  </si>
  <si>
    <t xml:space="preserve">Infatrini is een voeding voor medisch gebruik. Dieetvoeding bij ziektegerelateerde ondervoeding en groeiachterstand bij zuigelingen.                 </t>
  </si>
  <si>
    <t>Infatrini 125ml</t>
  </si>
  <si>
    <t xml:space="preserve">Infatrini  is een voeding voor medisch gebruik. Dieetvoeding bij ziektegerelateerde ondervoeding en groeiachterstand bij zuigelingen.                 </t>
  </si>
  <si>
    <t>Infatrini 200ml</t>
  </si>
  <si>
    <t>Infatrini peptisorb</t>
  </si>
  <si>
    <t>packshots</t>
  </si>
  <si>
    <t>Infatrini</t>
  </si>
  <si>
    <t>Infatrini poeder</t>
  </si>
  <si>
    <t>\</t>
  </si>
  <si>
    <t>MACRONUTRIENTS</t>
  </si>
  <si>
    <t>Content</t>
  </si>
  <si>
    <t>Measure</t>
  </si>
  <si>
    <t>kcal</t>
  </si>
  <si>
    <t>Eiwitequivalent</t>
  </si>
  <si>
    <t>g</t>
  </si>
  <si>
    <t>LCT</t>
  </si>
  <si>
    <t>VITAMINS</t>
  </si>
  <si>
    <t>µg-RE</t>
  </si>
  <si>
    <t>µg</t>
  </si>
  <si>
    <t>mg-a-TE</t>
  </si>
  <si>
    <t>thiamine</t>
  </si>
  <si>
    <t>riboflavine</t>
  </si>
  <si>
    <t>niacine</t>
  </si>
  <si>
    <t>mg NE</t>
  </si>
  <si>
    <t>foliumzuur</t>
  </si>
  <si>
    <t>pantotheenzuur</t>
  </si>
  <si>
    <t>biotine</t>
  </si>
  <si>
    <t>choline</t>
  </si>
  <si>
    <t>inositol</t>
  </si>
  <si>
    <t>MINERALS</t>
  </si>
  <si>
    <t>mg-A-TE</t>
  </si>
  <si>
    <t>0-6 maanden Jongens</t>
  </si>
  <si>
    <t>0-6 maanden Meisjes</t>
  </si>
  <si>
    <t>Bron</t>
  </si>
  <si>
    <t>Ai/Ah/etc</t>
  </si>
  <si>
    <t xml:space="preserve"> </t>
  </si>
  <si>
    <t>Unit</t>
  </si>
  <si>
    <t>Kcal/kg</t>
  </si>
  <si>
    <t>GR 2001</t>
  </si>
  <si>
    <t>GB</t>
  </si>
  <si>
    <t>gram</t>
  </si>
  <si>
    <t>AH</t>
  </si>
  <si>
    <t>gram/kg</t>
  </si>
  <si>
    <t>AI</t>
  </si>
  <si>
    <t>* Range (0-2 maanden)-(3-5 maanden)</t>
  </si>
  <si>
    <t>µg**</t>
  </si>
  <si>
    <t>NC 2012</t>
  </si>
  <si>
    <t>GR 2012</t>
  </si>
  <si>
    <t>mg**</t>
  </si>
  <si>
    <t>GR 2010</t>
  </si>
  <si>
    <t>** De GR heeft alleen een vitamine K suppletieadvies voor baby's van 0-3 maanden  (GR 2010)</t>
  </si>
  <si>
    <t>GR 2000</t>
  </si>
  <si>
    <t>AI/AH</t>
  </si>
  <si>
    <t>GR 2003</t>
  </si>
  <si>
    <t xml:space="preserve">***Voor vitamine B6 geld:bij volledige borstvoeding 0,12 mg/dag en bij flesvoeding 0,20 mg/dag. </t>
  </si>
  <si>
    <t>EFSA 2014</t>
  </si>
  <si>
    <t>EFSA 2013</t>
  </si>
  <si>
    <t>IOM 2011</t>
  </si>
  <si>
    <t>gram**</t>
  </si>
  <si>
    <t>TNA, 2004</t>
  </si>
  <si>
    <t>AB</t>
  </si>
  <si>
    <t>IOM, 1998</t>
  </si>
  <si>
    <r>
      <rPr>
        <u/>
        <sz val="11"/>
        <color theme="1"/>
        <rFont val="Lato"/>
        <family val="2"/>
      </rPr>
      <t xml:space="preserve">Afkortingen: </t>
    </r>
    <r>
      <rPr>
        <sz val="11"/>
        <color theme="1"/>
        <rFont val="Lato"/>
        <family val="2"/>
      </rPr>
      <t xml:space="preserve">                               GR = gezondheidsraad.           NC = Nordic Council.            EFSA =  European Food Authority.                                   IOM = Institute of Medicine.                          TNA = The National Academies                                  GB = gemiddelde behoefte
AH = aanbevolen hoeveelheid
AI = adequate inneming
AB = aanvaardbare bovengrens van inneming</t>
    </r>
  </si>
  <si>
    <t>en% = energiepercentage</t>
  </si>
  <si>
    <t>kcal/ml</t>
  </si>
  <si>
    <t>maatschepjes</t>
  </si>
  <si>
    <t>Osmolariteit (mOsmol/l)</t>
  </si>
  <si>
    <t>kcal/100ml</t>
  </si>
  <si>
    <t>schepjes</t>
  </si>
  <si>
    <t>g poeder</t>
  </si>
  <si>
    <r>
      <rPr>
        <u/>
        <sz val="11"/>
        <color theme="1"/>
        <rFont val="Lato"/>
        <family val="2"/>
      </rPr>
      <t xml:space="preserve">Afkortingen: </t>
    </r>
    <r>
      <rPr>
        <sz val="11"/>
        <color theme="1"/>
        <rFont val="Lato"/>
        <family val="2"/>
      </rPr>
      <t xml:space="preserve">                               GR = gezondheidsraad.           NC = Nordic Council.            EFSA =  European Food Authority.                                   IOM = Institute of Medicine.                          TNA = The National Academies                           GB = gemiddelde behoefte
AH = aanbevolen hoeveelheid
AI = adequate inneming
AB = aanvaardbare bovengrens van inneming</t>
    </r>
  </si>
  <si>
    <t>category</t>
  </si>
  <si>
    <t>nutrients</t>
  </si>
  <si>
    <t>combi</t>
  </si>
  <si>
    <t>unit</t>
  </si>
  <si>
    <t>abs/ rel</t>
  </si>
  <si>
    <t>value</t>
  </si>
  <si>
    <t>source</t>
  </si>
  <si>
    <t>abbr.</t>
  </si>
  <si>
    <t>Jongen 0-5 maanden</t>
  </si>
  <si>
    <t>MACRO</t>
  </si>
  <si>
    <t>abs</t>
  </si>
  <si>
    <t>rel</t>
  </si>
  <si>
    <t>Jongen 6-11 maanden</t>
  </si>
  <si>
    <t xml:space="preserve">                              </t>
  </si>
  <si>
    <t>Meisje 6-11 maanden</t>
  </si>
  <si>
    <t>Jongen 12-18 maanden</t>
  </si>
  <si>
    <t>Kcal</t>
  </si>
  <si>
    <t>GR 2006</t>
  </si>
  <si>
    <t>Meisje 12-18 maanden</t>
  </si>
  <si>
    <t>Aanbeveling Jongens</t>
  </si>
  <si>
    <t>Aanbeveling Meisjes</t>
  </si>
  <si>
    <t>Macronutrients</t>
  </si>
  <si>
    <t>*</t>
  </si>
  <si>
    <t>* Richtlijn vezelconsumptie</t>
  </si>
  <si>
    <t>Content/100 gram</t>
  </si>
  <si>
    <t>3%</t>
  </si>
  <si>
    <t>mg-TE</t>
  </si>
  <si>
    <t>folaat</t>
  </si>
  <si>
    <t>EN%</t>
  </si>
  <si>
    <t>EN% eiwit</t>
  </si>
  <si>
    <t>Content/100 ml</t>
  </si>
  <si>
    <t>˂8</t>
  </si>
  <si>
    <t xml:space="preserve"> Vocht</t>
  </si>
  <si>
    <t>ml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</si>
</sst>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9">
    <numFmt numFmtId="43" formatCode="_ * #,##0.00_ ;_ * \-#,##0.00_ ;_ * &quot;-&quot;??_ ;_ @_ "/>
    <numFmt numFmtId="164" formatCode="0.0"/>
    <numFmt numFmtId="165" formatCode="&quot;Product needed to provide &quot;0&quot; kcal =&quot;"/>
    <numFmt numFmtId="166" formatCode="0&quot; DRI&quot;"/>
    <numFmt numFmtId="167" formatCode="&quot;= &quot;0&quot; kJ&quot;"/>
    <numFmt numFmtId="168" formatCode="#,##0.0000"/>
    <numFmt numFmtId="169" formatCode="_ * #,##0_ ;_ * \-#,##0_ ;_ * &quot;-&quot;??_ ;_ @_ "/>
    <numFmt numFmtId="170" formatCode="_ * #,##0.0_ ;_ * \-#,##0.0_ ;_ * &quot;-&quot;??_ ;_ @_ "/>
    <numFmt numFmtId="171" formatCode="0.000"/>
  </numFmts>
  <fonts count="45" x14ac:knownFonts="1"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0"/>
      <name val="Arial"/>
      <family val="2"/>
    </font>
    <font>
      <u/>
      <sz val="11"/>
      <color theme="10"/>
      <name val="Calibri"/>
      <family val="2"/>
      <scheme val="minor"/>
    </font>
    <font>
      <u/>
      <sz val="11"/>
      <color theme="11"/>
      <name val="Calibri"/>
      <family val="2"/>
      <scheme val="minor"/>
    </font>
    <font>
      <b/>
      <sz val="20"/>
      <color rgb="FF2E065C"/>
      <name val="Lato"/>
      <family val="2"/>
    </font>
    <font>
      <sz val="20"/>
      <color rgb="FF2E065C"/>
      <name val="Lato"/>
      <family val="2"/>
    </font>
    <font>
      <sz val="18"/>
      <color rgb="FF7030A0"/>
      <name val="Lato"/>
      <family val="2"/>
    </font>
    <font>
      <sz val="9"/>
      <color rgb="FF7030A0"/>
      <name val="Lato"/>
      <family val="2"/>
    </font>
    <font>
      <sz val="9"/>
      <color rgb="FF2E065C"/>
      <name val="Lato"/>
      <family val="2"/>
    </font>
    <font>
      <sz val="12"/>
      <color rgb="FF2E065C"/>
      <name val="Lato"/>
      <family val="2"/>
    </font>
    <font>
      <sz val="12"/>
      <color rgb="FF0088A5"/>
      <name val="Lato"/>
      <family val="2"/>
    </font>
    <font>
      <sz val="14"/>
      <color theme="0"/>
      <name val="Lato"/>
      <family val="2"/>
    </font>
    <font>
      <sz val="11"/>
      <color theme="1"/>
      <name val="Lato"/>
      <family val="2"/>
    </font>
    <font>
      <b/>
      <sz val="14"/>
      <color theme="0"/>
      <name val="Lato"/>
      <family val="2"/>
    </font>
    <font>
      <sz val="11"/>
      <color theme="0"/>
      <name val="Lato"/>
      <family val="2"/>
    </font>
    <font>
      <b/>
      <sz val="14"/>
      <color rgb="FF0088A5"/>
      <name val="Lato"/>
      <family val="2"/>
    </font>
    <font>
      <b/>
      <sz val="12"/>
      <color theme="0"/>
      <name val="Lato"/>
      <family val="2"/>
    </font>
    <font>
      <b/>
      <sz val="10"/>
      <color theme="1"/>
      <name val="Lato"/>
      <family val="2"/>
    </font>
    <font>
      <sz val="12"/>
      <color theme="0"/>
      <name val="Lato"/>
      <family val="2"/>
    </font>
    <font>
      <sz val="11"/>
      <color rgb="FF3F1065"/>
      <name val="Lato"/>
      <family val="2"/>
    </font>
    <font>
      <b/>
      <sz val="12"/>
      <color rgb="FF0088A5"/>
      <name val="Lato"/>
      <family val="2"/>
    </font>
    <font>
      <b/>
      <sz val="13"/>
      <color rgb="FF3F1065"/>
      <name val="Lato"/>
      <family val="2"/>
    </font>
    <font>
      <b/>
      <i/>
      <sz val="12"/>
      <color rgb="FF3F1065"/>
      <name val="Lato"/>
      <family val="2"/>
    </font>
    <font>
      <sz val="11"/>
      <color rgb="FF0088A5"/>
      <name val="Lato"/>
      <family val="2"/>
    </font>
    <font>
      <b/>
      <sz val="12"/>
      <color rgb="FF3F1065"/>
      <name val="Lato"/>
      <family val="2"/>
    </font>
    <font>
      <i/>
      <sz val="11"/>
      <color rgb="FF3F1065"/>
      <name val="Lato"/>
      <family val="2"/>
    </font>
    <font>
      <b/>
      <sz val="12"/>
      <color rgb="FF2E065C"/>
      <name val="Lato"/>
      <family val="2"/>
    </font>
    <font>
      <i/>
      <sz val="11"/>
      <color theme="1"/>
      <name val="Lato"/>
      <family val="2"/>
    </font>
    <font>
      <b/>
      <sz val="12"/>
      <color theme="1"/>
      <name val="Lato"/>
      <family val="2"/>
    </font>
    <font>
      <sz val="12"/>
      <color theme="1"/>
      <name val="Lato"/>
      <family val="2"/>
    </font>
    <font>
      <b/>
      <sz val="11"/>
      <color theme="1"/>
      <name val="Lato"/>
      <family val="2"/>
    </font>
    <font>
      <sz val="11"/>
      <color theme="5" tint="0.79998168889431442"/>
      <name val="Lato"/>
      <family val="2"/>
    </font>
    <font>
      <u/>
      <sz val="11"/>
      <color theme="1"/>
      <name val="Lato"/>
      <family val="2"/>
    </font>
    <font>
      <sz val="11"/>
      <color rgb="FF333333"/>
      <name val="Lato"/>
      <family val="2"/>
    </font>
    <font>
      <sz val="12"/>
      <color rgb="FF333333"/>
      <name val="Lato"/>
      <family val="2"/>
    </font>
    <font>
      <sz val="8"/>
      <color rgb="FF000000"/>
      <name val="Lato"/>
      <family val="2"/>
    </font>
    <font>
      <sz val="9"/>
      <color theme="0" tint="-0.34998626667073579"/>
      <name val="Lato"/>
      <family val="2"/>
    </font>
    <font>
      <b/>
      <sz val="10"/>
      <color theme="0"/>
      <name val="Lato"/>
      <family val="2"/>
    </font>
    <font>
      <sz val="10"/>
      <color theme="0"/>
      <name val="Lato"/>
      <family val="2"/>
    </font>
    <font>
      <sz val="8"/>
      <color theme="1" tint="0.499984740745262"/>
      <name val="Lato"/>
      <family val="2"/>
    </font>
    <font>
      <sz val="11"/>
      <name val="Lato"/>
      <family val="2"/>
    </font>
    <font>
      <b/>
      <sz val="11"/>
      <color theme="1"/>
      <name val="Calibri"/>
      <family val="2"/>
      <scheme val="minor"/>
    </font>
    <font>
      <sz val="11"/>
      <color theme="0" tint="-0.499984740745262"/>
      <name val="Lato"/>
      <family val="2"/>
    </font>
    <font>
      <b/>
      <sz val="12"/>
      <color theme="0" tint="-0.499984740745262"/>
      <name val="Lato"/>
      <family val="2"/>
    </font>
  </fonts>
  <fills count="23">
    <fill>
      <patternFill patternType="none"/>
    </fill>
    <fill>
      <patternFill patternType="gray125"/>
    </fill>
    <fill>
      <patternFill patternType="solid">
        <fgColor theme="7" tint="0.79998168889431442"/>
        <bgColor indexed="64"/>
      </patternFill>
    </fill>
    <fill>
      <patternFill patternType="solid">
        <fgColor theme="0" tint="-0.34998626667073579"/>
        <bgColor indexed="64"/>
      </patternFill>
    </fill>
    <fill>
      <patternFill patternType="solid">
        <fgColor theme="5" tint="0.59999389629810485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theme="5" tint="0.79998168889431442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rgb="FFD3DFED"/>
        <bgColor indexed="64"/>
      </patternFill>
    </fill>
    <fill>
      <patternFill patternType="solid">
        <fgColor theme="4" tint="0.59999389629810485"/>
        <bgColor indexed="64"/>
      </patternFill>
    </fill>
    <fill>
      <patternFill patternType="solid">
        <fgColor rgb="FFE8E8E8"/>
        <bgColor indexed="64"/>
      </patternFill>
    </fill>
    <fill>
      <patternFill patternType="solid">
        <fgColor rgb="FFE1EAF3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theme="5" tint="0.39997558519241921"/>
        <bgColor indexed="64"/>
      </patternFill>
    </fill>
    <fill>
      <patternFill patternType="solid">
        <fgColor rgb="FFDDD6E8"/>
        <bgColor indexed="64"/>
      </patternFill>
    </fill>
    <fill>
      <patternFill patternType="solid">
        <fgColor rgb="FF3F1065"/>
        <bgColor indexed="64"/>
      </patternFill>
    </fill>
    <fill>
      <patternFill patternType="solid">
        <fgColor theme="3" tint="0.59999389629810485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3" tint="0.79998168889431442"/>
        <bgColor indexed="64"/>
      </patternFill>
    </fill>
    <fill>
      <patternFill patternType="solid">
        <fgColor theme="4" tint="0.39997558519241921"/>
        <bgColor indexed="64"/>
      </patternFill>
    </fill>
    <fill>
      <patternFill patternType="solid">
        <fgColor theme="1" tint="0.499984740745262"/>
        <bgColor indexed="64"/>
      </patternFill>
    </fill>
    <fill>
      <patternFill patternType="solid">
        <fgColor theme="0" tint="-0.249977111117893"/>
        <bgColor indexed="64"/>
      </patternFill>
    </fill>
    <fill>
      <patternFill patternType="solid">
        <fgColor theme="6" tint="0.59999389629810485"/>
        <bgColor indexed="64"/>
      </patternFill>
    </fill>
  </fills>
  <borders count="20">
    <border>
      <left/>
      <right/>
      <top/>
      <bottom/>
      <diagonal/>
    </border>
    <border>
      <left/>
      <right/>
      <top style="thin">
        <color theme="0" tint="-0.14999847407452621"/>
      </top>
      <bottom/>
      <diagonal/>
    </border>
    <border>
      <left style="thin">
        <color theme="0" tint="-0.14999847407452621"/>
      </left>
      <right style="thin">
        <color theme="0" tint="-0.14999847407452621"/>
      </right>
      <top style="thin">
        <color theme="0" tint="-0.14999847407452621"/>
      </top>
      <bottom style="thin">
        <color theme="0" tint="-0.14999847407452621"/>
      </bottom>
      <diagonal/>
    </border>
    <border>
      <left style="thin">
        <color theme="0" tint="-0.14999847407452621"/>
      </left>
      <right style="thin">
        <color theme="0" tint="-0.14999847407452621"/>
      </right>
      <top style="thin">
        <color theme="0" tint="-0.14999847407452621"/>
      </top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/>
      <diagonal/>
    </border>
    <border>
      <left style="thin">
        <color auto="1"/>
      </left>
      <right/>
      <top/>
      <bottom/>
      <diagonal/>
    </border>
    <border>
      <left/>
      <right style="thin">
        <color auto="1"/>
      </right>
      <top/>
      <bottom/>
      <diagonal/>
    </border>
    <border>
      <left style="thin">
        <color auto="1"/>
      </left>
      <right/>
      <top/>
      <bottom style="thin">
        <color auto="1"/>
      </bottom>
      <diagonal/>
    </border>
    <border>
      <left/>
      <right/>
      <top/>
      <bottom style="thin">
        <color auto="1"/>
      </bottom>
      <diagonal/>
    </border>
    <border>
      <left/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thin">
        <color auto="1"/>
      </right>
      <top/>
      <bottom/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/>
      <top style="thin">
        <color auto="1"/>
      </top>
      <bottom/>
      <diagonal/>
    </border>
    <border>
      <left/>
      <right style="thin">
        <color auto="1"/>
      </right>
      <top style="thin">
        <color auto="1"/>
      </top>
      <bottom/>
      <diagonal/>
    </border>
    <border>
      <left/>
      <right/>
      <top/>
      <bottom style="thin">
        <color theme="0" tint="-0.14999847407452621"/>
      </bottom>
      <diagonal/>
    </border>
  </borders>
  <cellStyleXfs count="23">
    <xf numFmtId="0" fontId="0" fillId="0" borderId="0"/>
    <xf numFmtId="43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0" fontId="1" fillId="0" borderId="0"/>
    <xf numFmtId="9" fontId="1" fillId="0" borderId="0" applyFont="0" applyFill="0" applyBorder="0" applyAlignment="0" applyProtection="0"/>
    <xf numFmtId="0" fontId="2" fillId="0" borderId="0"/>
    <xf numFmtId="0" fontId="2" fillId="0" borderId="0"/>
    <xf numFmtId="0" fontId="2" fillId="0" borderId="0"/>
    <xf numFmtId="0" fontId="1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9" fontId="2" fillId="0" borderId="0" applyFont="0" applyFill="0" applyBorder="0" applyAlignment="0" applyProtection="0"/>
    <xf numFmtId="9" fontId="2" fillId="0" borderId="0" applyFont="0" applyFill="0" applyBorder="0" applyAlignment="0" applyProtection="0"/>
    <xf numFmtId="0" fontId="3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3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3" fillId="0" borderId="0" applyNumberFormat="0" applyFill="0" applyBorder="0" applyAlignment="0" applyProtection="0"/>
    <xf numFmtId="0" fontId="4" fillId="0" borderId="0" applyNumberFormat="0" applyFill="0" applyBorder="0" applyAlignment="0" applyProtection="0"/>
  </cellStyleXfs>
  <cellXfs count="297">
    <xf numFmtId="0" fontId="0" fillId="0" borderId="0" xfId="0"/>
    <xf numFmtId="0" fontId="7" fillId="0" borderId="0" xfId="3" applyFont="1"/>
    <xf numFmtId="0" fontId="8" fillId="0" borderId="0" xfId="3" applyFont="1" applyAlignment="1">
      <alignment vertical="center" wrapText="1"/>
    </xf>
    <xf numFmtId="164" fontId="14" fillId="15" borderId="8" xfId="3" applyNumberFormat="1" applyFont="1" applyFill="1" applyBorder="1" applyAlignment="1">
      <alignment horizontal="right" vertical="center"/>
    </xf>
    <xf numFmtId="0" fontId="14" fillId="15" borderId="0" xfId="3" applyFont="1" applyFill="1" applyAlignment="1">
      <alignment horizontal="left" vertical="center"/>
    </xf>
    <xf numFmtId="0" fontId="15" fillId="15" borderId="10" xfId="3" applyFont="1" applyFill="1" applyBorder="1"/>
    <xf numFmtId="169" fontId="14" fillId="15" borderId="12" xfId="1" applyNumberFormat="1" applyFont="1" applyFill="1" applyBorder="1" applyAlignment="1" applyProtection="1">
      <alignment horizontal="right" vertical="center"/>
    </xf>
    <xf numFmtId="0" fontId="14" fillId="15" borderId="12" xfId="3" applyFont="1" applyFill="1" applyBorder="1" applyAlignment="1">
      <alignment horizontal="center" vertical="center"/>
    </xf>
    <xf numFmtId="0" fontId="15" fillId="15" borderId="13" xfId="3" applyFont="1" applyFill="1" applyBorder="1"/>
    <xf numFmtId="0" fontId="13" fillId="0" borderId="0" xfId="3" applyFont="1"/>
    <xf numFmtId="0" fontId="17" fillId="15" borderId="4" xfId="3" applyFont="1" applyFill="1" applyBorder="1" applyAlignment="1">
      <alignment horizontal="center" vertical="center"/>
    </xf>
    <xf numFmtId="0" fontId="21" fillId="2" borderId="0" xfId="3" applyFont="1" applyFill="1" applyAlignment="1" applyProtection="1">
      <alignment horizontal="right"/>
      <protection locked="0"/>
    </xf>
    <xf numFmtId="0" fontId="22" fillId="2" borderId="0" xfId="3" applyFont="1" applyFill="1" applyAlignment="1">
      <alignment vertical="center"/>
    </xf>
    <xf numFmtId="0" fontId="25" fillId="2" borderId="0" xfId="3" applyFont="1" applyFill="1" applyAlignment="1">
      <alignment vertical="center"/>
    </xf>
    <xf numFmtId="167" fontId="26" fillId="2" borderId="0" xfId="3" applyNumberFormat="1" applyFont="1" applyFill="1" applyAlignment="1">
      <alignment horizontal="left"/>
    </xf>
    <xf numFmtId="0" fontId="20" fillId="0" borderId="0" xfId="3" applyFont="1"/>
    <xf numFmtId="0" fontId="13" fillId="0" borderId="0" xfId="0" applyFont="1"/>
    <xf numFmtId="9" fontId="13" fillId="0" borderId="0" xfId="4" applyFont="1" applyFill="1" applyBorder="1" applyAlignment="1" applyProtection="1"/>
    <xf numFmtId="0" fontId="29" fillId="3" borderId="0" xfId="3" applyFont="1" applyFill="1" applyAlignment="1">
      <alignment vertical="top"/>
    </xf>
    <xf numFmtId="0" fontId="28" fillId="0" borderId="0" xfId="0" applyFont="1"/>
    <xf numFmtId="0" fontId="29" fillId="13" borderId="6" xfId="3" applyFont="1" applyFill="1" applyBorder="1" applyAlignment="1">
      <alignment horizontal="left" vertical="top"/>
    </xf>
    <xf numFmtId="0" fontId="29" fillId="9" borderId="5" xfId="3" applyFont="1" applyFill="1" applyBorder="1"/>
    <xf numFmtId="0" fontId="29" fillId="9" borderId="6" xfId="3" applyFont="1" applyFill="1" applyBorder="1"/>
    <xf numFmtId="0" fontId="30" fillId="0" borderId="0" xfId="0" applyFont="1"/>
    <xf numFmtId="0" fontId="13" fillId="0" borderId="0" xfId="0" applyFont="1" applyAlignment="1">
      <alignment wrapText="1"/>
    </xf>
    <xf numFmtId="0" fontId="29" fillId="7" borderId="0" xfId="3" applyFont="1" applyFill="1" applyAlignment="1">
      <alignment horizontal="left" vertical="top"/>
    </xf>
    <xf numFmtId="0" fontId="13" fillId="7" borderId="0" xfId="0" applyFont="1" applyFill="1"/>
    <xf numFmtId="0" fontId="13" fillId="5" borderId="19" xfId="3" applyFont="1" applyFill="1" applyBorder="1" applyAlignment="1">
      <alignment vertical="center"/>
    </xf>
    <xf numFmtId="0" fontId="13" fillId="5" borderId="0" xfId="3" applyFont="1" applyFill="1" applyAlignment="1">
      <alignment vertical="center"/>
    </xf>
    <xf numFmtId="2" fontId="13" fillId="0" borderId="0" xfId="0" applyNumberFormat="1" applyFont="1" applyAlignment="1">
      <alignment wrapText="1"/>
    </xf>
    <xf numFmtId="0" fontId="13" fillId="10" borderId="1" xfId="3" applyFont="1" applyFill="1" applyBorder="1" applyAlignment="1">
      <alignment vertical="center"/>
    </xf>
    <xf numFmtId="0" fontId="13" fillId="10" borderId="0" xfId="3" applyFont="1" applyFill="1" applyAlignment="1">
      <alignment vertical="center"/>
    </xf>
    <xf numFmtId="12" fontId="13" fillId="0" borderId="0" xfId="0" applyNumberFormat="1" applyFont="1"/>
    <xf numFmtId="0" fontId="13" fillId="10" borderId="0" xfId="3" applyFont="1" applyFill="1" applyAlignment="1">
      <alignment horizontal="left" vertical="center" indent="2"/>
    </xf>
    <xf numFmtId="0" fontId="13" fillId="5" borderId="0" xfId="3" applyFont="1" applyFill="1" applyAlignment="1">
      <alignment horizontal="left" vertical="center" indent="2"/>
    </xf>
    <xf numFmtId="0" fontId="13" fillId="5" borderId="0" xfId="3" applyFont="1" applyFill="1" applyAlignment="1">
      <alignment horizontal="left" vertical="center"/>
    </xf>
    <xf numFmtId="0" fontId="13" fillId="12" borderId="0" xfId="0" applyFont="1" applyFill="1"/>
    <xf numFmtId="0" fontId="29" fillId="4" borderId="0" xfId="3" applyFont="1" applyFill="1" applyAlignment="1">
      <alignment horizontal="left" vertical="top"/>
    </xf>
    <xf numFmtId="0" fontId="31" fillId="4" borderId="0" xfId="3" applyFont="1" applyFill="1" applyAlignment="1">
      <alignment horizontal="left" vertical="top"/>
    </xf>
    <xf numFmtId="0" fontId="13" fillId="4" borderId="0" xfId="0" applyFont="1" applyFill="1"/>
    <xf numFmtId="0" fontId="13" fillId="5" borderId="0" xfId="3" applyFont="1" applyFill="1" applyAlignment="1">
      <alignment horizontal="left" vertical="center" indent="1"/>
    </xf>
    <xf numFmtId="0" fontId="13" fillId="12" borderId="0" xfId="0" applyFont="1" applyFill="1" applyAlignment="1">
      <alignment wrapText="1"/>
    </xf>
    <xf numFmtId="0" fontId="13" fillId="0" borderId="2" xfId="0" applyFont="1" applyBorder="1"/>
    <xf numFmtId="0" fontId="13" fillId="6" borderId="0" xfId="3" applyFont="1" applyFill="1" applyAlignment="1">
      <alignment horizontal="left" vertical="top" indent="1"/>
    </xf>
    <xf numFmtId="0" fontId="32" fillId="6" borderId="0" xfId="3" applyFont="1" applyFill="1" applyAlignment="1">
      <alignment horizontal="left" vertical="center"/>
    </xf>
    <xf numFmtId="0" fontId="13" fillId="6" borderId="0" xfId="3" applyFont="1" applyFill="1" applyAlignment="1">
      <alignment vertical="center"/>
    </xf>
    <xf numFmtId="0" fontId="13" fillId="6" borderId="0" xfId="3" applyFont="1" applyFill="1" applyAlignment="1">
      <alignment horizontal="left" vertical="center" indent="1"/>
    </xf>
    <xf numFmtId="0" fontId="13" fillId="0" borderId="3" xfId="0" applyFont="1" applyBorder="1"/>
    <xf numFmtId="0" fontId="29" fillId="8" borderId="0" xfId="3" applyFont="1" applyFill="1" applyAlignment="1">
      <alignment horizontal="left"/>
    </xf>
    <xf numFmtId="0" fontId="13" fillId="11" borderId="0" xfId="3" applyFont="1" applyFill="1" applyAlignment="1">
      <alignment vertical="center"/>
    </xf>
    <xf numFmtId="0" fontId="13" fillId="11" borderId="0" xfId="3" applyFont="1" applyFill="1" applyAlignment="1">
      <alignment horizontal="left" vertical="center" indent="1"/>
    </xf>
    <xf numFmtId="0" fontId="13" fillId="0" borderId="2" xfId="0" applyFont="1" applyBorder="1" applyAlignment="1">
      <alignment wrapText="1"/>
    </xf>
    <xf numFmtId="164" fontId="13" fillId="0" borderId="0" xfId="0" applyNumberFormat="1" applyFont="1"/>
    <xf numFmtId="0" fontId="13" fillId="5" borderId="0" xfId="3" applyFont="1" applyFill="1" applyAlignment="1">
      <alignment vertical="center" wrapText="1"/>
    </xf>
    <xf numFmtId="3" fontId="34" fillId="0" borderId="0" xfId="0" applyNumberFormat="1" applyFont="1"/>
    <xf numFmtId="0" fontId="13" fillId="5" borderId="2" xfId="0" applyFont="1" applyFill="1" applyBorder="1" applyAlignment="1">
      <alignment wrapText="1"/>
    </xf>
    <xf numFmtId="164" fontId="13" fillId="5" borderId="2" xfId="0" applyNumberFormat="1" applyFont="1" applyFill="1" applyBorder="1"/>
    <xf numFmtId="0" fontId="13" fillId="6" borderId="0" xfId="3" applyFont="1" applyFill="1" applyAlignment="1">
      <alignment horizontal="left" indent="1"/>
    </xf>
    <xf numFmtId="3" fontId="35" fillId="0" borderId="0" xfId="0" applyNumberFormat="1" applyFont="1"/>
    <xf numFmtId="168" fontId="35" fillId="0" borderId="0" xfId="0" applyNumberFormat="1" applyFont="1"/>
    <xf numFmtId="164" fontId="13" fillId="5" borderId="2" xfId="0" applyNumberFormat="1" applyFont="1" applyFill="1" applyBorder="1" applyAlignment="1">
      <alignment wrapText="1"/>
    </xf>
    <xf numFmtId="164" fontId="13" fillId="0" borderId="0" xfId="0" applyNumberFormat="1" applyFont="1" applyAlignment="1">
      <alignment wrapText="1"/>
    </xf>
    <xf numFmtId="0" fontId="13" fillId="5" borderId="2" xfId="0" applyFont="1" applyFill="1" applyBorder="1"/>
    <xf numFmtId="0" fontId="13" fillId="5" borderId="3" xfId="0" applyFont="1" applyFill="1" applyBorder="1"/>
    <xf numFmtId="0" fontId="13" fillId="0" borderId="0" xfId="0" applyFont="1" applyAlignment="1">
      <alignment vertical="center"/>
    </xf>
    <xf numFmtId="0" fontId="36" fillId="0" borderId="0" xfId="0" applyFont="1" applyAlignment="1">
      <alignment vertical="center"/>
    </xf>
    <xf numFmtId="0" fontId="13" fillId="0" borderId="0" xfId="0" applyFont="1" applyAlignment="1">
      <alignment horizontal="center" vertical="center"/>
    </xf>
    <xf numFmtId="0" fontId="13" fillId="0" borderId="0" xfId="3" applyFont="1" applyAlignment="1">
      <alignment horizontal="right"/>
    </xf>
    <xf numFmtId="0" fontId="13" fillId="0" borderId="0" xfId="3" applyFont="1" applyAlignment="1">
      <alignment vertical="center"/>
    </xf>
    <xf numFmtId="0" fontId="37" fillId="15" borderId="0" xfId="3" applyFont="1" applyFill="1" applyAlignment="1">
      <alignment vertical="top" wrapText="1"/>
    </xf>
    <xf numFmtId="0" fontId="40" fillId="0" borderId="0" xfId="3" applyFont="1"/>
    <xf numFmtId="0" fontId="40" fillId="0" borderId="0" xfId="3" quotePrefix="1" applyFont="1"/>
    <xf numFmtId="0" fontId="41" fillId="0" borderId="0" xfId="3" applyFont="1" applyAlignment="1">
      <alignment horizontal="right"/>
    </xf>
    <xf numFmtId="0" fontId="17" fillId="15" borderId="5" xfId="3" applyFont="1" applyFill="1" applyBorder="1" applyAlignment="1">
      <alignment horizontal="center" vertical="center"/>
    </xf>
    <xf numFmtId="0" fontId="17" fillId="15" borderId="7" xfId="3" applyFont="1" applyFill="1" applyBorder="1" applyAlignment="1">
      <alignment horizontal="center" vertical="center"/>
    </xf>
    <xf numFmtId="0" fontId="22" fillId="2" borderId="0" xfId="3" applyFont="1" applyFill="1"/>
    <xf numFmtId="0" fontId="13" fillId="14" borderId="14" xfId="0" applyFont="1" applyFill="1" applyBorder="1"/>
    <xf numFmtId="0" fontId="13" fillId="14" borderId="10" xfId="0" applyFont="1" applyFill="1" applyBorder="1" applyAlignment="1">
      <alignment horizontal="center" vertical="center"/>
    </xf>
    <xf numFmtId="0" fontId="13" fillId="14" borderId="9" xfId="0" applyFont="1" applyFill="1" applyBorder="1" applyAlignment="1">
      <alignment horizontal="center" vertical="center"/>
    </xf>
    <xf numFmtId="169" fontId="13" fillId="14" borderId="0" xfId="1" applyNumberFormat="1" applyFont="1" applyFill="1" applyBorder="1" applyAlignment="1" applyProtection="1">
      <alignment horizontal="right" vertical="center"/>
    </xf>
    <xf numFmtId="9" fontId="13" fillId="14" borderId="10" xfId="2" applyFont="1" applyFill="1" applyBorder="1" applyAlignment="1" applyProtection="1">
      <alignment horizontal="center" vertical="center"/>
    </xf>
    <xf numFmtId="0" fontId="13" fillId="0" borderId="14" xfId="0" applyFont="1" applyBorder="1"/>
    <xf numFmtId="0" fontId="13" fillId="0" borderId="10" xfId="0" applyFont="1" applyBorder="1" applyAlignment="1">
      <alignment horizontal="center" vertical="center"/>
    </xf>
    <xf numFmtId="0" fontId="13" fillId="0" borderId="9" xfId="0" applyFont="1" applyBorder="1" applyAlignment="1">
      <alignment horizontal="center" vertical="center"/>
    </xf>
    <xf numFmtId="169" fontId="13" fillId="0" borderId="0" xfId="1" applyNumberFormat="1" applyFont="1" applyBorder="1" applyAlignment="1" applyProtection="1">
      <alignment horizontal="right" vertical="center"/>
    </xf>
    <xf numFmtId="9" fontId="13" fillId="0" borderId="10" xfId="2" applyFont="1" applyBorder="1" applyAlignment="1" applyProtection="1">
      <alignment horizontal="center" vertical="center"/>
    </xf>
    <xf numFmtId="0" fontId="20" fillId="2" borderId="0" xfId="0" applyFont="1" applyFill="1"/>
    <xf numFmtId="0" fontId="24" fillId="2" borderId="0" xfId="0" applyFont="1" applyFill="1"/>
    <xf numFmtId="0" fontId="13" fillId="14" borderId="13" xfId="0" applyFont="1" applyFill="1" applyBorder="1" applyAlignment="1">
      <alignment horizontal="center" vertical="center"/>
    </xf>
    <xf numFmtId="0" fontId="13" fillId="14" borderId="11" xfId="0" applyFont="1" applyFill="1" applyBorder="1" applyAlignment="1">
      <alignment horizontal="center" vertical="center"/>
    </xf>
    <xf numFmtId="0" fontId="13" fillId="2" borderId="0" xfId="0" applyFont="1" applyFill="1" applyAlignment="1">
      <alignment vertical="center"/>
    </xf>
    <xf numFmtId="0" fontId="27" fillId="2" borderId="0" xfId="0" applyFont="1" applyFill="1" applyAlignment="1">
      <alignment vertical="center"/>
    </xf>
    <xf numFmtId="0" fontId="13" fillId="14" borderId="9" xfId="0" applyFont="1" applyFill="1" applyBorder="1" applyAlignment="1">
      <alignment horizontal="left" vertical="top"/>
    </xf>
    <xf numFmtId="170" fontId="13" fillId="14" borderId="9" xfId="1" applyNumberFormat="1" applyFont="1" applyFill="1" applyBorder="1" applyAlignment="1" applyProtection="1">
      <alignment horizontal="center" vertical="center"/>
    </xf>
    <xf numFmtId="0" fontId="13" fillId="0" borderId="9" xfId="0" applyFont="1" applyBorder="1" applyAlignment="1">
      <alignment horizontal="left" vertical="top"/>
    </xf>
    <xf numFmtId="170" fontId="13" fillId="0" borderId="9" xfId="1" applyNumberFormat="1" applyFont="1" applyBorder="1" applyAlignment="1" applyProtection="1">
      <alignment horizontal="center" vertical="center"/>
    </xf>
    <xf numFmtId="0" fontId="13" fillId="2" borderId="17" xfId="0" applyFont="1" applyFill="1" applyBorder="1"/>
    <xf numFmtId="0" fontId="13" fillId="2" borderId="18" xfId="0" applyFont="1" applyFill="1" applyBorder="1"/>
    <xf numFmtId="0" fontId="13" fillId="0" borderId="9" xfId="0" applyFont="1" applyBorder="1"/>
    <xf numFmtId="0" fontId="13" fillId="0" borderId="10" xfId="0" applyFont="1" applyBorder="1"/>
    <xf numFmtId="9" fontId="13" fillId="0" borderId="14" xfId="2" applyFont="1" applyBorder="1" applyAlignment="1" applyProtection="1">
      <alignment horizontal="center" vertical="center"/>
    </xf>
    <xf numFmtId="0" fontId="13" fillId="2" borderId="9" xfId="0" applyFont="1" applyFill="1" applyBorder="1"/>
    <xf numFmtId="0" fontId="13" fillId="2" borderId="10" xfId="0" applyFont="1" applyFill="1" applyBorder="1"/>
    <xf numFmtId="170" fontId="13" fillId="2" borderId="9" xfId="1" applyNumberFormat="1" applyFont="1" applyFill="1" applyBorder="1" applyAlignment="1" applyProtection="1">
      <alignment horizontal="center" vertical="center"/>
    </xf>
    <xf numFmtId="0" fontId="13" fillId="0" borderId="11" xfId="0" applyFont="1" applyBorder="1" applyAlignment="1">
      <alignment horizontal="left" vertical="top"/>
    </xf>
    <xf numFmtId="0" fontId="13" fillId="0" borderId="13" xfId="0" applyFont="1" applyBorder="1" applyAlignment="1">
      <alignment horizontal="center" vertical="center"/>
    </xf>
    <xf numFmtId="0" fontId="13" fillId="0" borderId="11" xfId="0" applyFont="1" applyBorder="1" applyAlignment="1">
      <alignment horizontal="center" vertical="center"/>
    </xf>
    <xf numFmtId="169" fontId="13" fillId="0" borderId="12" xfId="1" applyNumberFormat="1" applyFont="1" applyBorder="1" applyAlignment="1" applyProtection="1">
      <alignment horizontal="right" vertical="center"/>
    </xf>
    <xf numFmtId="0" fontId="37" fillId="0" borderId="0" xfId="0" applyFont="1" applyAlignment="1">
      <alignment vertical="top"/>
    </xf>
    <xf numFmtId="0" fontId="13" fillId="0" borderId="0" xfId="0" applyFont="1" applyAlignment="1">
      <alignment vertical="top"/>
    </xf>
    <xf numFmtId="164" fontId="25" fillId="2" borderId="0" xfId="3" applyNumberFormat="1" applyFont="1" applyFill="1" applyAlignment="1">
      <alignment horizontal="right"/>
    </xf>
    <xf numFmtId="0" fontId="21" fillId="2" borderId="0" xfId="0" applyFont="1" applyFill="1" applyAlignment="1" applyProtection="1">
      <alignment horizontal="left" vertical="center"/>
      <protection locked="0"/>
    </xf>
    <xf numFmtId="164" fontId="13" fillId="5" borderId="2" xfId="0" applyNumberFormat="1" applyFont="1" applyFill="1" applyBorder="1" applyAlignment="1">
      <alignment horizontal="right" wrapText="1"/>
    </xf>
    <xf numFmtId="0" fontId="31" fillId="0" borderId="0" xfId="0" applyFont="1"/>
    <xf numFmtId="0" fontId="29" fillId="0" borderId="0" xfId="0" applyFont="1"/>
    <xf numFmtId="2" fontId="13" fillId="0" borderId="0" xfId="0" applyNumberFormat="1" applyFont="1"/>
    <xf numFmtId="171" fontId="13" fillId="0" borderId="0" xfId="0" applyNumberFormat="1" applyFont="1"/>
    <xf numFmtId="0" fontId="13" fillId="5" borderId="0" xfId="0" applyFont="1" applyFill="1"/>
    <xf numFmtId="0" fontId="0" fillId="16" borderId="6" xfId="0" applyFill="1" applyBorder="1"/>
    <xf numFmtId="0" fontId="31" fillId="16" borderId="6" xfId="0" applyFont="1" applyFill="1" applyBorder="1"/>
    <xf numFmtId="0" fontId="42" fillId="16" borderId="6" xfId="0" applyFont="1" applyFill="1" applyBorder="1"/>
    <xf numFmtId="0" fontId="0" fillId="0" borderId="0" xfId="0" applyAlignment="1">
      <alignment horizontal="center"/>
    </xf>
    <xf numFmtId="0" fontId="13" fillId="0" borderId="0" xfId="0" applyFont="1" applyAlignment="1">
      <alignment horizontal="right"/>
    </xf>
    <xf numFmtId="0" fontId="15" fillId="17" borderId="0" xfId="0" applyFont="1" applyFill="1"/>
    <xf numFmtId="0" fontId="21" fillId="2" borderId="0" xfId="3" applyFont="1" applyFill="1" applyAlignment="1" applyProtection="1">
      <alignment vertical="center" wrapText="1"/>
      <protection locked="0"/>
    </xf>
    <xf numFmtId="0" fontId="13" fillId="16" borderId="0" xfId="0" applyFont="1" applyFill="1"/>
    <xf numFmtId="0" fontId="13" fillId="18" borderId="0" xfId="0" applyFont="1" applyFill="1"/>
    <xf numFmtId="0" fontId="13" fillId="6" borderId="0" xfId="0" applyFont="1" applyFill="1"/>
    <xf numFmtId="43" fontId="13" fillId="0" borderId="0" xfId="1" applyFont="1"/>
    <xf numFmtId="0" fontId="13" fillId="19" borderId="0" xfId="0" applyFont="1" applyFill="1"/>
    <xf numFmtId="0" fontId="13" fillId="13" borderId="0" xfId="0" applyFont="1" applyFill="1"/>
    <xf numFmtId="0" fontId="15" fillId="20" borderId="0" xfId="0" applyFont="1" applyFill="1"/>
    <xf numFmtId="43" fontId="15" fillId="20" borderId="0" xfId="1" applyFont="1" applyFill="1"/>
    <xf numFmtId="0" fontId="13" fillId="0" borderId="19" xfId="3" applyFont="1" applyBorder="1" applyAlignment="1">
      <alignment vertical="center"/>
    </xf>
    <xf numFmtId="43" fontId="13" fillId="0" borderId="0" xfId="1" applyFont="1" applyFill="1" applyAlignment="1">
      <alignment wrapText="1"/>
    </xf>
    <xf numFmtId="0" fontId="13" fillId="0" borderId="1" xfId="3" applyFont="1" applyBorder="1" applyAlignment="1">
      <alignment vertical="center"/>
    </xf>
    <xf numFmtId="43" fontId="13" fillId="0" borderId="0" xfId="1" applyFont="1" applyFill="1"/>
    <xf numFmtId="0" fontId="13" fillId="0" borderId="0" xfId="3" applyFont="1" applyAlignment="1">
      <alignment horizontal="left" vertical="top" indent="1"/>
    </xf>
    <xf numFmtId="43" fontId="13" fillId="0" borderId="2" xfId="1" applyFont="1" applyFill="1" applyBorder="1"/>
    <xf numFmtId="0" fontId="29" fillId="21" borderId="0" xfId="3" applyFont="1" applyFill="1" applyAlignment="1">
      <alignment horizontal="left" vertical="top"/>
    </xf>
    <xf numFmtId="0" fontId="13" fillId="21" borderId="0" xfId="0" applyFont="1" applyFill="1"/>
    <xf numFmtId="43" fontId="13" fillId="21" borderId="0" xfId="1" applyFont="1" applyFill="1"/>
    <xf numFmtId="0" fontId="13" fillId="21" borderId="2" xfId="0" applyFont="1" applyFill="1" applyBorder="1"/>
    <xf numFmtId="43" fontId="13" fillId="21" borderId="2" xfId="1" applyFont="1" applyFill="1" applyBorder="1"/>
    <xf numFmtId="0" fontId="29" fillId="21" borderId="0" xfId="3" applyFont="1" applyFill="1"/>
    <xf numFmtId="0" fontId="43" fillId="0" borderId="0" xfId="0" applyFont="1"/>
    <xf numFmtId="0" fontId="44" fillId="20" borderId="0" xfId="3" applyFont="1" applyFill="1" applyAlignment="1">
      <alignment horizontal="left" vertical="top"/>
    </xf>
    <xf numFmtId="0" fontId="44" fillId="21" borderId="0" xfId="3" applyFont="1" applyFill="1" applyAlignment="1">
      <alignment horizontal="left" vertical="top"/>
    </xf>
    <xf numFmtId="0" fontId="44" fillId="0" borderId="0" xfId="3" applyFont="1" applyAlignment="1">
      <alignment horizontal="left" vertical="top"/>
    </xf>
    <xf numFmtId="0" fontId="43" fillId="0" borderId="0" xfId="3" applyFont="1" applyAlignment="1">
      <alignment vertical="center"/>
    </xf>
    <xf numFmtId="0" fontId="43" fillId="0" borderId="0" xfId="3" applyFont="1" applyAlignment="1">
      <alignment vertical="center" wrapText="1"/>
    </xf>
    <xf numFmtId="0" fontId="43" fillId="0" borderId="0" xfId="3" applyFont="1" applyAlignment="1">
      <alignment horizontal="left" vertical="center"/>
    </xf>
    <xf numFmtId="0" fontId="43" fillId="0" borderId="0" xfId="3" applyFont="1" applyAlignment="1">
      <alignment horizontal="left" vertical="center" indent="1"/>
    </xf>
    <xf numFmtId="0" fontId="17" fillId="20" borderId="0" xfId="3" applyFont="1" applyFill="1" applyAlignment="1">
      <alignment vertical="top"/>
    </xf>
    <xf numFmtId="170" fontId="13" fillId="14" borderId="10" xfId="1" applyNumberFormat="1" applyFont="1" applyFill="1" applyBorder="1" applyAlignment="1" applyProtection="1">
      <alignment horizontal="center" vertical="center"/>
    </xf>
    <xf numFmtId="170" fontId="13" fillId="0" borderId="10" xfId="1" applyNumberFormat="1" applyFont="1" applyBorder="1" applyAlignment="1" applyProtection="1">
      <alignment horizontal="center" vertical="center"/>
    </xf>
    <xf numFmtId="9" fontId="13" fillId="14" borderId="16" xfId="2" applyFont="1" applyFill="1" applyBorder="1" applyAlignment="1" applyProtection="1">
      <alignment horizontal="center" vertical="center"/>
    </xf>
    <xf numFmtId="9" fontId="13" fillId="14" borderId="14" xfId="2" applyFont="1" applyFill="1" applyBorder="1" applyAlignment="1" applyProtection="1">
      <alignment horizontal="center" vertical="center"/>
    </xf>
    <xf numFmtId="9" fontId="13" fillId="0" borderId="15" xfId="2" applyFont="1" applyBorder="1" applyAlignment="1" applyProtection="1">
      <alignment horizontal="center" vertical="center"/>
    </xf>
    <xf numFmtId="0" fontId="13" fillId="14" borderId="18" xfId="0" applyFont="1" applyFill="1" applyBorder="1" applyAlignment="1">
      <alignment horizontal="center" vertical="center"/>
    </xf>
    <xf numFmtId="0" fontId="13" fillId="14" borderId="0" xfId="0" applyFont="1" applyFill="1" applyAlignment="1">
      <alignment horizontal="center" vertical="center"/>
    </xf>
    <xf numFmtId="169" fontId="13" fillId="14" borderId="12" xfId="1" applyNumberFormat="1" applyFont="1" applyFill="1" applyBorder="1" applyAlignment="1" applyProtection="1">
      <alignment horizontal="right" vertical="center"/>
    </xf>
    <xf numFmtId="9" fontId="13" fillId="14" borderId="13" xfId="2" applyFont="1" applyFill="1" applyBorder="1" applyAlignment="1" applyProtection="1">
      <alignment horizontal="center" vertical="center"/>
    </xf>
    <xf numFmtId="170" fontId="14" fillId="15" borderId="0" xfId="1" applyNumberFormat="1" applyFont="1" applyFill="1" applyBorder="1" applyAlignment="1" applyProtection="1">
      <alignment horizontal="right" vertical="center"/>
    </xf>
    <xf numFmtId="0" fontId="13" fillId="0" borderId="14" xfId="0" applyFont="1" applyBorder="1" applyAlignment="1">
      <alignment vertical="center"/>
    </xf>
    <xf numFmtId="164" fontId="25" fillId="2" borderId="0" xfId="3" applyNumberFormat="1" applyFont="1" applyFill="1" applyAlignment="1">
      <alignment horizontal="right" vertical="center"/>
    </xf>
    <xf numFmtId="0" fontId="29" fillId="22" borderId="5" xfId="3" applyFont="1" applyFill="1" applyBorder="1"/>
    <xf numFmtId="0" fontId="29" fillId="22" borderId="6" xfId="3" applyFont="1" applyFill="1" applyBorder="1"/>
    <xf numFmtId="0" fontId="13" fillId="0" borderId="11" xfId="0" applyFont="1" applyBorder="1"/>
    <xf numFmtId="0" fontId="13" fillId="0" borderId="13" xfId="0" applyFont="1" applyBorder="1"/>
    <xf numFmtId="0" fontId="28" fillId="0" borderId="9" xfId="0" applyFont="1" applyBorder="1" applyAlignment="1">
      <alignment horizontal="left" indent="2"/>
    </xf>
    <xf numFmtId="170" fontId="28" fillId="0" borderId="9" xfId="1" applyNumberFormat="1" applyFont="1" applyBorder="1" applyAlignment="1" applyProtection="1">
      <alignment horizontal="center" vertical="center"/>
    </xf>
    <xf numFmtId="0" fontId="28" fillId="0" borderId="10" xfId="0" applyFont="1" applyBorder="1" applyAlignment="1">
      <alignment horizontal="center" vertical="center"/>
    </xf>
    <xf numFmtId="169" fontId="28" fillId="0" borderId="0" xfId="1" applyNumberFormat="1" applyFont="1" applyBorder="1" applyAlignment="1" applyProtection="1">
      <alignment horizontal="right" vertical="center"/>
    </xf>
    <xf numFmtId="9" fontId="28" fillId="0" borderId="10" xfId="2" applyFont="1" applyBorder="1" applyAlignment="1" applyProtection="1">
      <alignment horizontal="center" vertical="center"/>
    </xf>
    <xf numFmtId="9" fontId="13" fillId="0" borderId="0" xfId="0" quotePrefix="1" applyNumberFormat="1" applyFont="1"/>
    <xf numFmtId="170" fontId="13" fillId="14" borderId="9" xfId="1" applyNumberFormat="1" applyFont="1" applyFill="1" applyBorder="1" applyAlignment="1" applyProtection="1">
      <alignment horizontal="right" vertical="center"/>
    </xf>
    <xf numFmtId="170" fontId="13" fillId="2" borderId="9" xfId="1" applyNumberFormat="1" applyFont="1" applyFill="1" applyBorder="1" applyAlignment="1" applyProtection="1">
      <alignment horizontal="right" vertical="center"/>
    </xf>
    <xf numFmtId="0" fontId="13" fillId="0" borderId="12" xfId="0" applyFont="1" applyBorder="1" applyAlignment="1">
      <alignment vertical="center"/>
    </xf>
    <xf numFmtId="0" fontId="13" fillId="0" borderId="13" xfId="0" applyFont="1" applyBorder="1" applyAlignment="1">
      <alignment vertical="center"/>
    </xf>
    <xf numFmtId="169" fontId="13" fillId="0" borderId="11" xfId="1" applyNumberFormat="1" applyFont="1" applyFill="1" applyBorder="1" applyAlignment="1" applyProtection="1">
      <alignment vertical="center"/>
    </xf>
    <xf numFmtId="169" fontId="13" fillId="0" borderId="12" xfId="1" applyNumberFormat="1" applyFont="1" applyFill="1" applyBorder="1" applyAlignment="1" applyProtection="1">
      <alignment vertical="center"/>
    </xf>
    <xf numFmtId="0" fontId="13" fillId="0" borderId="12" xfId="3" applyFont="1" applyBorder="1"/>
    <xf numFmtId="0" fontId="0" fillId="0" borderId="0" xfId="0" applyAlignment="1">
      <alignment horizontal="left" vertical="top"/>
    </xf>
    <xf numFmtId="0" fontId="41" fillId="0" borderId="14" xfId="0" applyFont="1" applyBorder="1"/>
    <xf numFmtId="0" fontId="41" fillId="14" borderId="15" xfId="0" applyFont="1" applyFill="1" applyBorder="1"/>
    <xf numFmtId="0" fontId="13" fillId="0" borderId="12" xfId="0" applyFont="1" applyBorder="1" applyAlignment="1">
      <alignment horizontal="right" vertical="center"/>
    </xf>
    <xf numFmtId="169" fontId="13" fillId="14" borderId="9" xfId="1" applyNumberFormat="1" applyFont="1" applyFill="1" applyBorder="1" applyAlignment="1" applyProtection="1">
      <alignment horizontal="center" vertical="center"/>
    </xf>
    <xf numFmtId="169" fontId="13" fillId="2" borderId="9" xfId="1" applyNumberFormat="1" applyFont="1" applyFill="1" applyBorder="1" applyAlignment="1" applyProtection="1">
      <alignment horizontal="center" vertical="center"/>
    </xf>
    <xf numFmtId="169" fontId="13" fillId="0" borderId="9" xfId="1" applyNumberFormat="1" applyFont="1" applyBorder="1" applyAlignment="1" applyProtection="1">
      <alignment horizontal="center" vertical="center"/>
    </xf>
    <xf numFmtId="164" fontId="13" fillId="14" borderId="0" xfId="0" applyNumberFormat="1" applyFont="1" applyFill="1" applyAlignment="1">
      <alignment horizontal="center" vertical="center"/>
    </xf>
    <xf numFmtId="164" fontId="28" fillId="0" borderId="0" xfId="0" applyNumberFormat="1" applyFont="1" applyAlignment="1">
      <alignment horizontal="center" vertical="center"/>
    </xf>
    <xf numFmtId="43" fontId="13" fillId="14" borderId="9" xfId="1" applyFont="1" applyFill="1" applyBorder="1" applyAlignment="1" applyProtection="1">
      <alignment horizontal="center" vertical="center"/>
    </xf>
    <xf numFmtId="170" fontId="13" fillId="14" borderId="0" xfId="1" applyNumberFormat="1" applyFont="1" applyFill="1" applyBorder="1" applyAlignment="1" applyProtection="1">
      <alignment horizontal="right" vertical="center"/>
    </xf>
    <xf numFmtId="43" fontId="13" fillId="2" borderId="9" xfId="1" applyFont="1" applyFill="1" applyBorder="1" applyAlignment="1" applyProtection="1">
      <alignment horizontal="center" vertical="center"/>
    </xf>
    <xf numFmtId="43" fontId="13" fillId="14" borderId="0" xfId="1" applyFont="1" applyFill="1" applyBorder="1" applyAlignment="1" applyProtection="1">
      <alignment horizontal="right" vertical="center"/>
    </xf>
    <xf numFmtId="43" fontId="13" fillId="0" borderId="9" xfId="1" applyFont="1" applyBorder="1" applyAlignment="1" applyProtection="1">
      <alignment horizontal="center" vertical="center"/>
    </xf>
    <xf numFmtId="43" fontId="13" fillId="0" borderId="0" xfId="1" applyFont="1" applyBorder="1" applyAlignment="1" applyProtection="1">
      <alignment horizontal="right" vertical="center"/>
    </xf>
    <xf numFmtId="169" fontId="13" fillId="14" borderId="10" xfId="1" applyNumberFormat="1" applyFont="1" applyFill="1" applyBorder="1" applyAlignment="1" applyProtection="1">
      <alignment horizontal="center" vertical="center"/>
    </xf>
    <xf numFmtId="169" fontId="13" fillId="0" borderId="10" xfId="1" applyNumberFormat="1" applyFont="1" applyBorder="1" applyAlignment="1" applyProtection="1">
      <alignment horizontal="center" vertical="center"/>
    </xf>
    <xf numFmtId="43" fontId="13" fillId="14" borderId="10" xfId="1" applyFont="1" applyFill="1" applyBorder="1" applyAlignment="1" applyProtection="1">
      <alignment horizontal="center" vertical="center"/>
    </xf>
    <xf numFmtId="169" fontId="13" fillId="14" borderId="9" xfId="0" applyNumberFormat="1" applyFont="1" applyFill="1" applyBorder="1" applyAlignment="1">
      <alignment horizontal="right" vertical="center"/>
    </xf>
    <xf numFmtId="169" fontId="13" fillId="0" borderId="9" xfId="0" applyNumberFormat="1" applyFont="1" applyBorder="1" applyAlignment="1">
      <alignment horizontal="right" vertical="center"/>
    </xf>
    <xf numFmtId="164" fontId="13" fillId="14" borderId="9" xfId="0" applyNumberFormat="1" applyFont="1" applyFill="1" applyBorder="1" applyAlignment="1">
      <alignment horizontal="right" vertical="center"/>
    </xf>
    <xf numFmtId="164" fontId="13" fillId="0" borderId="9" xfId="0" applyNumberFormat="1" applyFont="1" applyBorder="1" applyAlignment="1">
      <alignment horizontal="right" vertical="center"/>
    </xf>
    <xf numFmtId="43" fontId="13" fillId="14" borderId="9" xfId="0" applyNumberFormat="1" applyFont="1" applyFill="1" applyBorder="1" applyAlignment="1">
      <alignment horizontal="right" vertical="center"/>
    </xf>
    <xf numFmtId="1" fontId="13" fillId="0" borderId="9" xfId="0" applyNumberFormat="1" applyFont="1" applyBorder="1" applyAlignment="1">
      <alignment horizontal="right" vertical="center"/>
    </xf>
    <xf numFmtId="1" fontId="13" fillId="0" borderId="10" xfId="1" applyNumberFormat="1" applyFont="1" applyBorder="1" applyAlignment="1" applyProtection="1">
      <alignment vertical="center"/>
    </xf>
    <xf numFmtId="1" fontId="13" fillId="0" borderId="9" xfId="0" applyNumberFormat="1" applyFont="1" applyBorder="1" applyAlignment="1">
      <alignment vertical="center"/>
    </xf>
    <xf numFmtId="169" fontId="13" fillId="14" borderId="13" xfId="1" applyNumberFormat="1" applyFont="1" applyFill="1" applyBorder="1" applyAlignment="1" applyProtection="1">
      <alignment horizontal="center" vertical="center"/>
    </xf>
    <xf numFmtId="169" fontId="13" fillId="14" borderId="11" xfId="0" applyNumberFormat="1" applyFont="1" applyFill="1" applyBorder="1" applyAlignment="1">
      <alignment horizontal="right" vertical="center"/>
    </xf>
    <xf numFmtId="1" fontId="13" fillId="0" borderId="10" xfId="1" applyNumberFormat="1" applyFont="1" applyBorder="1" applyAlignment="1" applyProtection="1">
      <alignment horizontal="right" vertical="center"/>
    </xf>
    <xf numFmtId="169" fontId="13" fillId="14" borderId="9" xfId="1" applyNumberFormat="1" applyFont="1" applyFill="1" applyBorder="1" applyAlignment="1" applyProtection="1">
      <alignment horizontal="right" vertical="center"/>
    </xf>
    <xf numFmtId="169" fontId="13" fillId="0" borderId="9" xfId="1" applyNumberFormat="1" applyFont="1" applyBorder="1" applyAlignment="1" applyProtection="1">
      <alignment horizontal="right" vertical="center"/>
    </xf>
    <xf numFmtId="169" fontId="13" fillId="0" borderId="11" xfId="1" applyNumberFormat="1" applyFont="1" applyBorder="1" applyAlignment="1" applyProtection="1">
      <alignment horizontal="center" vertical="center"/>
    </xf>
    <xf numFmtId="49" fontId="37" fillId="0" borderId="0" xfId="0" applyNumberFormat="1" applyFont="1" applyAlignment="1">
      <alignment horizontal="left" textRotation="90"/>
    </xf>
    <xf numFmtId="0" fontId="38" fillId="15" borderId="0" xfId="3" applyFont="1" applyFill="1" applyAlignment="1">
      <alignment horizontal="left" vertical="center" wrapText="1"/>
    </xf>
    <xf numFmtId="0" fontId="37" fillId="15" borderId="0" xfId="3" applyFont="1" applyFill="1" applyAlignment="1">
      <alignment horizontal="left" vertical="center" wrapText="1"/>
    </xf>
    <xf numFmtId="0" fontId="21" fillId="2" borderId="0" xfId="3" quotePrefix="1" applyFont="1" applyFill="1" applyAlignment="1">
      <alignment horizontal="right" vertical="center" wrapText="1"/>
    </xf>
    <xf numFmtId="0" fontId="21" fillId="2" borderId="0" xfId="3" applyFont="1" applyFill="1" applyAlignment="1">
      <alignment horizontal="right" vertical="center" wrapText="1"/>
    </xf>
    <xf numFmtId="0" fontId="19" fillId="15" borderId="17" xfId="3" applyFont="1" applyFill="1" applyBorder="1" applyAlignment="1">
      <alignment horizontal="center" vertical="center" wrapText="1"/>
    </xf>
    <xf numFmtId="0" fontId="19" fillId="15" borderId="8" xfId="3" applyFont="1" applyFill="1" applyBorder="1" applyAlignment="1">
      <alignment horizontal="center" vertical="center" wrapText="1"/>
    </xf>
    <xf numFmtId="0" fontId="19" fillId="15" borderId="18" xfId="3" applyFont="1" applyFill="1" applyBorder="1" applyAlignment="1">
      <alignment horizontal="center" vertical="center" wrapText="1"/>
    </xf>
    <xf numFmtId="0" fontId="19" fillId="15" borderId="9" xfId="3" applyFont="1" applyFill="1" applyBorder="1" applyAlignment="1">
      <alignment horizontal="center" vertical="center" wrapText="1"/>
    </xf>
    <xf numFmtId="0" fontId="19" fillId="15" borderId="0" xfId="3" applyFont="1" applyFill="1" applyAlignment="1">
      <alignment horizontal="center" vertical="center" wrapText="1"/>
    </xf>
    <xf numFmtId="0" fontId="19" fillId="15" borderId="10" xfId="3" applyFont="1" applyFill="1" applyBorder="1" applyAlignment="1">
      <alignment horizontal="center" vertical="center" wrapText="1"/>
    </xf>
    <xf numFmtId="0" fontId="19" fillId="15" borderId="11" xfId="3" applyFont="1" applyFill="1" applyBorder="1" applyAlignment="1">
      <alignment horizontal="center" vertical="center" wrapText="1"/>
    </xf>
    <xf numFmtId="0" fontId="19" fillId="15" borderId="12" xfId="3" applyFont="1" applyFill="1" applyBorder="1" applyAlignment="1">
      <alignment horizontal="center" vertical="center" wrapText="1"/>
    </xf>
    <xf numFmtId="0" fontId="19" fillId="15" borderId="13" xfId="3" applyFont="1" applyFill="1" applyBorder="1" applyAlignment="1">
      <alignment horizontal="center" vertical="center" wrapText="1"/>
    </xf>
    <xf numFmtId="0" fontId="37" fillId="15" borderId="0" xfId="3" applyFont="1" applyFill="1" applyAlignment="1">
      <alignment horizontal="center" vertical="center" wrapText="1"/>
    </xf>
    <xf numFmtId="166" fontId="17" fillId="15" borderId="6" xfId="3" applyNumberFormat="1" applyFont="1" applyFill="1" applyBorder="1" applyAlignment="1">
      <alignment horizontal="center" vertical="center"/>
    </xf>
    <xf numFmtId="166" fontId="17" fillId="15" borderId="7" xfId="3" applyNumberFormat="1" applyFont="1" applyFill="1" applyBorder="1" applyAlignment="1">
      <alignment horizontal="center" vertical="center"/>
    </xf>
    <xf numFmtId="0" fontId="17" fillId="15" borderId="5" xfId="3" applyFont="1" applyFill="1" applyBorder="1" applyAlignment="1">
      <alignment horizontal="center" vertical="center"/>
    </xf>
    <xf numFmtId="0" fontId="17" fillId="15" borderId="7" xfId="3" applyFont="1" applyFill="1" applyBorder="1" applyAlignment="1">
      <alignment horizontal="center" vertical="center"/>
    </xf>
    <xf numFmtId="0" fontId="27" fillId="2" borderId="0" xfId="3" applyFont="1" applyFill="1" applyAlignment="1">
      <alignment horizontal="center" vertical="center"/>
    </xf>
    <xf numFmtId="0" fontId="13" fillId="0" borderId="17" xfId="0" applyFont="1" applyBorder="1" applyAlignment="1">
      <alignment horizontal="center"/>
    </xf>
    <xf numFmtId="0" fontId="13" fillId="0" borderId="18" xfId="0" applyFont="1" applyBorder="1" applyAlignment="1">
      <alignment horizontal="center"/>
    </xf>
    <xf numFmtId="0" fontId="13" fillId="0" borderId="9" xfId="0" applyFont="1" applyBorder="1" applyAlignment="1">
      <alignment horizontal="center"/>
    </xf>
    <xf numFmtId="0" fontId="13" fillId="0" borderId="10" xfId="0" applyFont="1" applyBorder="1" applyAlignment="1">
      <alignment horizontal="center"/>
    </xf>
    <xf numFmtId="0" fontId="13" fillId="0" borderId="11" xfId="0" applyFont="1" applyBorder="1" applyAlignment="1">
      <alignment horizontal="center"/>
    </xf>
    <xf numFmtId="0" fontId="13" fillId="0" borderId="13" xfId="0" applyFont="1" applyBorder="1" applyAlignment="1">
      <alignment horizontal="center"/>
    </xf>
    <xf numFmtId="0" fontId="22" fillId="2" borderId="0" xfId="3" applyFont="1" applyFill="1" applyAlignment="1"/>
    <xf numFmtId="167" fontId="23" fillId="2" borderId="0" xfId="3" applyNumberFormat="1" applyFont="1" applyFill="1" applyAlignment="1">
      <alignment horizontal="left"/>
    </xf>
    <xf numFmtId="0" fontId="21" fillId="2" borderId="8" xfId="3" applyFont="1" applyFill="1" applyBorder="1" applyAlignment="1" applyProtection="1">
      <alignment horizontal="center" vertical="center"/>
      <protection locked="0"/>
    </xf>
    <xf numFmtId="0" fontId="18" fillId="0" borderId="17" xfId="3" applyFont="1" applyBorder="1" applyAlignment="1">
      <alignment horizontal="center" vertical="center" wrapText="1"/>
    </xf>
    <xf numFmtId="0" fontId="18" fillId="0" borderId="8" xfId="3" applyFont="1" applyBorder="1" applyAlignment="1">
      <alignment horizontal="center" vertical="center" wrapText="1"/>
    </xf>
    <xf numFmtId="0" fontId="18" fillId="0" borderId="18" xfId="3" applyFont="1" applyBorder="1" applyAlignment="1">
      <alignment horizontal="center" vertical="center" wrapText="1"/>
    </xf>
    <xf numFmtId="0" fontId="18" fillId="0" borderId="9" xfId="3" applyFont="1" applyBorder="1" applyAlignment="1">
      <alignment horizontal="center" vertical="center" wrapText="1"/>
    </xf>
    <xf numFmtId="0" fontId="18" fillId="0" borderId="0" xfId="3" applyFont="1" applyAlignment="1">
      <alignment horizontal="center" vertical="center" wrapText="1"/>
    </xf>
    <xf numFmtId="0" fontId="18" fillId="0" borderId="10" xfId="3" applyFont="1" applyBorder="1" applyAlignment="1">
      <alignment horizontal="center" vertical="center" wrapText="1"/>
    </xf>
    <xf numFmtId="0" fontId="18" fillId="0" borderId="11" xfId="3" applyFont="1" applyBorder="1" applyAlignment="1">
      <alignment horizontal="center" vertical="center" wrapText="1"/>
    </xf>
    <xf numFmtId="0" fontId="18" fillId="0" borderId="12" xfId="3" applyFont="1" applyBorder="1" applyAlignment="1">
      <alignment horizontal="center" vertical="center" wrapText="1"/>
    </xf>
    <xf numFmtId="0" fontId="18" fillId="0" borderId="13" xfId="3" applyFont="1" applyBorder="1" applyAlignment="1">
      <alignment horizontal="center" vertical="center" wrapText="1"/>
    </xf>
    <xf numFmtId="0" fontId="5" fillId="5" borderId="0" xfId="3" applyFont="1" applyFill="1" applyAlignment="1">
      <alignment horizontal="left"/>
    </xf>
    <xf numFmtId="0" fontId="6" fillId="5" borderId="0" xfId="3" applyFont="1" applyFill="1" applyAlignment="1">
      <alignment horizontal="left"/>
    </xf>
    <xf numFmtId="0" fontId="10" fillId="0" borderId="0" xfId="3" applyFont="1" applyAlignment="1">
      <alignment horizontal="left" vertical="center"/>
    </xf>
    <xf numFmtId="0" fontId="12" fillId="15" borderId="17" xfId="3" applyFont="1" applyFill="1" applyBorder="1" applyAlignment="1">
      <alignment horizontal="center" vertical="center" wrapText="1"/>
    </xf>
    <xf numFmtId="0" fontId="12" fillId="15" borderId="8" xfId="3" applyFont="1" applyFill="1" applyBorder="1" applyAlignment="1">
      <alignment horizontal="center" vertical="center" wrapText="1"/>
    </xf>
    <xf numFmtId="0" fontId="12" fillId="15" borderId="18" xfId="3" applyFont="1" applyFill="1" applyBorder="1" applyAlignment="1">
      <alignment horizontal="center" vertical="center" wrapText="1"/>
    </xf>
    <xf numFmtId="0" fontId="12" fillId="15" borderId="11" xfId="3" applyFont="1" applyFill="1" applyBorder="1" applyAlignment="1">
      <alignment horizontal="center" vertical="center" wrapText="1"/>
    </xf>
    <xf numFmtId="0" fontId="12" fillId="15" borderId="12" xfId="3" applyFont="1" applyFill="1" applyBorder="1" applyAlignment="1">
      <alignment horizontal="center" vertical="center" wrapText="1"/>
    </xf>
    <xf numFmtId="0" fontId="12" fillId="15" borderId="13" xfId="3" applyFont="1" applyFill="1" applyBorder="1" applyAlignment="1">
      <alignment horizontal="center" vertical="center" wrapText="1"/>
    </xf>
    <xf numFmtId="0" fontId="13" fillId="0" borderId="0" xfId="3" applyFont="1" applyAlignment="1">
      <alignment horizontal="center"/>
    </xf>
    <xf numFmtId="0" fontId="14" fillId="15" borderId="8" xfId="3" applyFont="1" applyFill="1" applyBorder="1" applyAlignment="1">
      <alignment horizontal="left" vertical="center"/>
    </xf>
    <xf numFmtId="0" fontId="14" fillId="15" borderId="18" xfId="3" applyFont="1" applyFill="1" applyBorder="1" applyAlignment="1">
      <alignment horizontal="left" vertical="center"/>
    </xf>
    <xf numFmtId="0" fontId="19" fillId="15" borderId="17" xfId="3" applyFont="1" applyFill="1" applyBorder="1" applyAlignment="1">
      <alignment horizontal="center" vertical="center"/>
    </xf>
    <xf numFmtId="0" fontId="19" fillId="15" borderId="8" xfId="3" applyFont="1" applyFill="1" applyBorder="1" applyAlignment="1">
      <alignment horizontal="center" vertical="center"/>
    </xf>
    <xf numFmtId="0" fontId="19" fillId="15" borderId="18" xfId="3" applyFont="1" applyFill="1" applyBorder="1" applyAlignment="1">
      <alignment horizontal="center" vertical="center"/>
    </xf>
    <xf numFmtId="2" fontId="14" fillId="15" borderId="9" xfId="3" applyNumberFormat="1" applyFont="1" applyFill="1" applyBorder="1" applyAlignment="1">
      <alignment horizontal="center" vertical="center"/>
    </xf>
    <xf numFmtId="2" fontId="14" fillId="15" borderId="0" xfId="3" applyNumberFormat="1" applyFont="1" applyFill="1" applyAlignment="1">
      <alignment horizontal="center" vertical="center"/>
    </xf>
    <xf numFmtId="2" fontId="14" fillId="15" borderId="10" xfId="3" applyNumberFormat="1" applyFont="1" applyFill="1" applyBorder="1" applyAlignment="1">
      <alignment horizontal="center" vertical="center"/>
    </xf>
    <xf numFmtId="0" fontId="19" fillId="15" borderId="11" xfId="3" applyFont="1" applyFill="1" applyBorder="1" applyAlignment="1">
      <alignment horizontal="center" vertical="center"/>
    </xf>
    <xf numFmtId="0" fontId="19" fillId="15" borderId="12" xfId="3" applyFont="1" applyFill="1" applyBorder="1" applyAlignment="1">
      <alignment horizontal="center" vertical="center"/>
    </xf>
    <xf numFmtId="0" fontId="19" fillId="15" borderId="13" xfId="3" applyFont="1" applyFill="1" applyBorder="1" applyAlignment="1">
      <alignment horizontal="center" vertical="center"/>
    </xf>
    <xf numFmtId="0" fontId="20" fillId="2" borderId="0" xfId="3" applyFont="1" applyFill="1" applyAlignment="1">
      <alignment horizontal="center"/>
    </xf>
    <xf numFmtId="0" fontId="9" fillId="0" borderId="0" xfId="3" applyFont="1" applyAlignment="1">
      <alignment horizontal="right" vertical="center" wrapText="1"/>
    </xf>
    <xf numFmtId="0" fontId="9" fillId="2" borderId="0" xfId="3" applyFont="1" applyFill="1" applyAlignment="1">
      <alignment horizontal="right" vertical="center" wrapText="1"/>
    </xf>
    <xf numFmtId="165" fontId="12" fillId="15" borderId="17" xfId="3" applyNumberFormat="1" applyFont="1" applyFill="1" applyBorder="1" applyAlignment="1">
      <alignment horizontal="center" vertical="center" wrapText="1"/>
    </xf>
    <xf numFmtId="165" fontId="12" fillId="15" borderId="8" xfId="3" applyNumberFormat="1" applyFont="1" applyFill="1" applyBorder="1" applyAlignment="1">
      <alignment horizontal="center" vertical="center" wrapText="1"/>
    </xf>
    <xf numFmtId="165" fontId="12" fillId="15" borderId="9" xfId="3" applyNumberFormat="1" applyFont="1" applyFill="1" applyBorder="1" applyAlignment="1">
      <alignment horizontal="center" vertical="center" wrapText="1"/>
    </xf>
    <xf numFmtId="165" fontId="12" fillId="15" borderId="0" xfId="3" applyNumberFormat="1" applyFont="1" applyFill="1" applyAlignment="1">
      <alignment horizontal="center" vertical="center" wrapText="1"/>
    </xf>
    <xf numFmtId="165" fontId="12" fillId="15" borderId="11" xfId="3" applyNumberFormat="1" applyFont="1" applyFill="1" applyBorder="1" applyAlignment="1">
      <alignment horizontal="center" vertical="center" wrapText="1"/>
    </xf>
    <xf numFmtId="165" fontId="12" fillId="15" borderId="12" xfId="3" applyNumberFormat="1" applyFont="1" applyFill="1" applyBorder="1" applyAlignment="1">
      <alignment horizontal="center" vertical="center" wrapText="1"/>
    </xf>
    <xf numFmtId="0" fontId="16" fillId="2" borderId="17" xfId="0" applyFont="1" applyFill="1" applyBorder="1" applyAlignment="1" applyProtection="1">
      <alignment horizontal="center" vertical="center"/>
      <protection locked="0"/>
    </xf>
    <xf numFmtId="0" fontId="16" fillId="2" borderId="8" xfId="0" applyFont="1" applyFill="1" applyBorder="1" applyAlignment="1" applyProtection="1">
      <alignment horizontal="center" vertical="center"/>
      <protection locked="0"/>
    </xf>
    <xf numFmtId="0" fontId="16" fillId="2" borderId="18" xfId="0" applyFont="1" applyFill="1" applyBorder="1" applyAlignment="1" applyProtection="1">
      <alignment horizontal="center" vertical="center"/>
      <protection locked="0"/>
    </xf>
    <xf numFmtId="0" fontId="16" fillId="2" borderId="9" xfId="0" applyFont="1" applyFill="1" applyBorder="1" applyAlignment="1" applyProtection="1">
      <alignment horizontal="center" vertical="center"/>
      <protection locked="0"/>
    </xf>
    <xf numFmtId="0" fontId="16" fillId="2" borderId="0" xfId="0" applyFont="1" applyFill="1" applyAlignment="1" applyProtection="1">
      <alignment horizontal="center" vertical="center"/>
      <protection locked="0"/>
    </xf>
    <xf numFmtId="0" fontId="16" fillId="2" borderId="10" xfId="0" applyFont="1" applyFill="1" applyBorder="1" applyAlignment="1" applyProtection="1">
      <alignment horizontal="center" vertical="center"/>
      <protection locked="0"/>
    </xf>
    <xf numFmtId="0" fontId="16" fillId="2" borderId="11" xfId="0" applyFont="1" applyFill="1" applyBorder="1" applyAlignment="1" applyProtection="1">
      <alignment horizontal="center" vertical="center"/>
      <protection locked="0"/>
    </xf>
    <xf numFmtId="0" fontId="16" fillId="2" borderId="12" xfId="0" applyFont="1" applyFill="1" applyBorder="1" applyAlignment="1" applyProtection="1">
      <alignment horizontal="center" vertical="center"/>
      <protection locked="0"/>
    </xf>
    <xf numFmtId="0" fontId="16" fillId="2" borderId="13" xfId="0" applyFont="1" applyFill="1" applyBorder="1" applyAlignment="1" applyProtection="1">
      <alignment horizontal="center" vertical="center"/>
      <protection locked="0"/>
    </xf>
    <xf numFmtId="0" fontId="17" fillId="15" borderId="5" xfId="3" applyFont="1" applyFill="1" applyBorder="1" applyAlignment="1">
      <alignment horizontal="center" vertical="center" wrapText="1"/>
    </xf>
    <xf numFmtId="0" fontId="17" fillId="15" borderId="6" xfId="3" applyFont="1" applyFill="1" applyBorder="1" applyAlignment="1">
      <alignment horizontal="center" vertical="center" wrapText="1"/>
    </xf>
    <xf numFmtId="0" fontId="17" fillId="15" borderId="7" xfId="3" applyFont="1" applyFill="1" applyBorder="1" applyAlignment="1">
      <alignment horizontal="center" vertical="center" wrapText="1"/>
    </xf>
    <xf numFmtId="0" fontId="29" fillId="8" borderId="0" xfId="3" applyFont="1" applyFill="1" applyAlignment="1">
      <alignment horizontal="left"/>
    </xf>
    <xf numFmtId="0" fontId="29" fillId="7" borderId="0" xfId="3" applyFont="1" applyFill="1" applyAlignment="1">
      <alignment horizontal="left" vertical="top"/>
    </xf>
  </cellXfs>
  <cellStyles count="23">
    <cellStyle name="Comma" xfId="1" builtinId="3"/>
    <cellStyle name="Followed Hyperlink" xfId="22" builtinId="9" hidden="1"/>
    <cellStyle name="Followed Hyperlink" xfId="20" builtinId="9" hidden="1"/>
    <cellStyle name="Followed Hyperlink" xfId="18" builtinId="9" hidden="1"/>
    <cellStyle name="Hyperlink" xfId="21" builtinId="8" hidden="1"/>
    <cellStyle name="Hyperlink" xfId="19" builtinId="8" hidden="1"/>
    <cellStyle name="Hyperlink" xfId="17" builtinId="8" hidden="1"/>
    <cellStyle name="Normal" xfId="0" builtinId="0"/>
    <cellStyle name="Normal 2" xfId="5" xr:uid="{00000000-0005-0000-0000-000008000000}"/>
    <cellStyle name="Normal 2 2" xfId="6" xr:uid="{00000000-0005-0000-0000-000009000000}"/>
    <cellStyle name="Normal 2 2 2" xfId="7" xr:uid="{00000000-0005-0000-0000-00000A000000}"/>
    <cellStyle name="Normal 3" xfId="8" xr:uid="{00000000-0005-0000-0000-00000B000000}"/>
    <cellStyle name="Normal 4" xfId="3" xr:uid="{00000000-0005-0000-0000-00000C000000}"/>
    <cellStyle name="Normal 5" xfId="9" xr:uid="{00000000-0005-0000-0000-00000D000000}"/>
    <cellStyle name="Normal 5 2" xfId="10" xr:uid="{00000000-0005-0000-0000-00000E000000}"/>
    <cellStyle name="Normal 5 3" xfId="11" xr:uid="{00000000-0005-0000-0000-00000F000000}"/>
    <cellStyle name="Normal 6" xfId="12" xr:uid="{00000000-0005-0000-0000-000010000000}"/>
    <cellStyle name="Normal 6 2" xfId="13" xr:uid="{00000000-0005-0000-0000-000011000000}"/>
    <cellStyle name="Normal 6 3" xfId="14" xr:uid="{00000000-0005-0000-0000-000012000000}"/>
    <cellStyle name="Percent" xfId="2" builtinId="5"/>
    <cellStyle name="Percent 2" xfId="15" xr:uid="{00000000-0005-0000-0000-000014000000}"/>
    <cellStyle name="Percent 2 2" xfId="16" xr:uid="{00000000-0005-0000-0000-000015000000}"/>
    <cellStyle name="Percent 3" xfId="4" xr:uid="{00000000-0005-0000-0000-000016000000}"/>
  </cellStyles>
  <dxfs count="2">
    <dxf>
      <font>
        <color theme="7" tint="0.79998168889431442"/>
      </font>
    </dxf>
    <dxf>
      <font>
        <color theme="7" tint="0.59996337778862885"/>
      </font>
    </dxf>
  </dxfs>
  <tableStyles count="0" defaultTableStyle="TableStyleMedium2" defaultPivotStyle="PivotStyleLight16"/>
  <colors>
    <mruColors>
      <color rgb="FF0088A5"/>
      <color rgb="FF2E065C"/>
      <color rgb="FF3F1065"/>
      <color rgb="FFA3238E"/>
      <color rgb="FF6D6E71"/>
      <color rgb="FF009CD7"/>
      <color rgb="FF3D1570"/>
      <color rgb="FF4F1C94"/>
      <color rgb="FF3F1A5A"/>
      <color rgb="FF2F1444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externalLink" Target="externalLinks/externalLink1.xml"/><Relationship Id="rId26" Type="http://schemas.openxmlformats.org/officeDocument/2006/relationships/customXml" Target="../customXml/item3.xml"/><Relationship Id="rId3" Type="http://schemas.openxmlformats.org/officeDocument/2006/relationships/worksheet" Target="worksheets/sheet3.xml"/><Relationship Id="rId21" Type="http://schemas.openxmlformats.org/officeDocument/2006/relationships/sharedStrings" Target="sharedStrings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5" Type="http://schemas.openxmlformats.org/officeDocument/2006/relationships/customXml" Target="../customXml/item2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styles" Target="styles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24" Type="http://schemas.openxmlformats.org/officeDocument/2006/relationships/customXml" Target="../customXml/item1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23" Type="http://schemas.openxmlformats.org/officeDocument/2006/relationships/calcChain" Target="calcChain.xml"/><Relationship Id="rId10" Type="http://schemas.openxmlformats.org/officeDocument/2006/relationships/worksheet" Target="worksheets/sheet10.xml"/><Relationship Id="rId19" Type="http://schemas.openxmlformats.org/officeDocument/2006/relationships/theme" Target="theme/theme1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microsoft.com/office/2017/10/relationships/person" Target="persons/person.xml"/></Relationships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2.png"/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7.png"/><Relationship Id="rId2" Type="http://schemas.openxmlformats.org/officeDocument/2006/relationships/image" Target="../media/image6.png"/><Relationship Id="rId1" Type="http://schemas.openxmlformats.org/officeDocument/2006/relationships/image" Target="../media/image5.png"/><Relationship Id="rId4" Type="http://schemas.openxmlformats.org/officeDocument/2006/relationships/image" Target="../media/image8.png"/></Relationships>
</file>

<file path=xl/drawings/_rels/drawing3.xml.rels><?xml version="1.0" encoding="UTF-8" standalone="yes"?>
<Relationships xmlns="http://schemas.openxmlformats.org/package/2006/relationships"><Relationship Id="rId3" Type="http://schemas.openxmlformats.org/officeDocument/2006/relationships/image" Target="../media/image11.PNG"/><Relationship Id="rId2" Type="http://schemas.openxmlformats.org/officeDocument/2006/relationships/image" Target="../media/image10.PNG"/><Relationship Id="rId1" Type="http://schemas.openxmlformats.org/officeDocument/2006/relationships/image" Target="../media/image9.png"/><Relationship Id="rId5" Type="http://schemas.openxmlformats.org/officeDocument/2006/relationships/image" Target="../media/image2.png"/><Relationship Id="rId4" Type="http://schemas.openxmlformats.org/officeDocument/2006/relationships/image" Target="../media/image12.PNG"/></Relationships>
</file>

<file path=xl/drawings/_rels/vmlDrawing1.vml.rels><?xml version="1.0" encoding="UTF-8" standalone="yes"?>
<Relationships xmlns="http://schemas.openxmlformats.org/package/2006/relationships"><Relationship Id="rId1" Type="http://schemas.openxmlformats.org/officeDocument/2006/relationships/image" Target="../media/image4.png"/></Relationships>
</file>

<file path=xl/drawings/_rels/vmlDrawing2.vml.rels><?xml version="1.0" encoding="UTF-8" standalone="yes"?>
<Relationships xmlns="http://schemas.openxmlformats.org/package/2006/relationships"><Relationship Id="rId1" Type="http://schemas.openxmlformats.org/officeDocument/2006/relationships/image" Target="../media/image13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123029</xdr:colOff>
      <xdr:row>42</xdr:row>
      <xdr:rowOff>117361</xdr:rowOff>
    </xdr:from>
    <xdr:to>
      <xdr:col>3</xdr:col>
      <xdr:colOff>692559</xdr:colOff>
      <xdr:row>44</xdr:row>
      <xdr:rowOff>34970</xdr:rowOff>
    </xdr:to>
    <xdr:pic>
      <xdr:nvPicPr>
        <xdr:cNvPr id="7" name="Afbeelding 6" descr="boog-wit.png">
          <a:extLst>
            <a:ext uri="{FF2B5EF4-FFF2-40B4-BE49-F238E27FC236}">
              <a16:creationId xmlns:a16="http://schemas.microsoft.com/office/drawing/2014/main" id="{00000000-0008-0000-00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61922" y="9125290"/>
          <a:ext cx="681492" cy="1280773"/>
        </a:xfrm>
        <a:prstGeom prst="rect">
          <a:avLst/>
        </a:prstGeom>
      </xdr:spPr>
    </xdr:pic>
    <xdr:clientData/>
  </xdr:twoCellAnchor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136072</xdr:colOff>
          <xdr:row>4</xdr:row>
          <xdr:rowOff>40822</xdr:rowOff>
        </xdr:from>
        <xdr:to>
          <xdr:col>11</xdr:col>
          <xdr:colOff>601799</xdr:colOff>
          <xdr:row>8</xdr:row>
          <xdr:rowOff>159114</xdr:rowOff>
        </xdr:to>
        <xdr:pic>
          <xdr:nvPicPr>
            <xdr:cNvPr id="4" name="Picture 3">
              <a:extLst>
                <a:ext uri="{FF2B5EF4-FFF2-40B4-BE49-F238E27FC236}">
                  <a16:creationId xmlns:a16="http://schemas.microsoft.com/office/drawing/2014/main" id="{00079D41-35B3-4068-8A0C-C97029D6B630}"/>
                </a:ext>
              </a:extLst>
            </xdr:cNvPr>
            <xdr:cNvPicPr>
              <a:picLocks noChangeAspect="1" noChangeArrowheads="1"/>
              <a:extLst>
                <a:ext uri="{84589F7E-364E-4C9E-8A38-B11213B215E9}">
                  <a14:cameraTool cellRange="PackMatch" spid="_x0000_s1124"/>
                </a:ext>
              </a:extLst>
            </xdr:cNvPicPr>
          </xdr:nvPicPr>
          <xdr:blipFill>
            <a:blip xmlns:r="http://schemas.openxmlformats.org/officeDocument/2006/relationships" r:embed="rId2"/>
            <a:srcRect/>
            <a:stretch>
              <a:fillRect/>
            </a:stretch>
          </xdr:blipFill>
          <xdr:spPr bwMode="auto">
            <a:xfrm>
              <a:off x="6422572" y="1265465"/>
              <a:ext cx="1007745" cy="931545"/>
            </a:xfrm>
            <a:prstGeom prst="roundRect">
              <a:avLst>
                <a:gd name="adj" fmla="val 8594"/>
              </a:avLst>
            </a:prstGeom>
            <a:solidFill>
              <a:srgbClr val="FFFFFF">
                <a:shade val="85000"/>
              </a:srgbClr>
            </a:solidFill>
            <a:ln>
              <a:noFill/>
            </a:ln>
            <a:effectLst>
              <a:reflection blurRad="12700" stA="38000" endPos="28000" dist="5000" dir="5400000" sy="-100000" algn="bl" rotWithShape="0"/>
            </a:effectLst>
          </xdr:spPr>
        </xdr:pic>
        <xdr:clientData/>
      </xdr:twoCellAnchor>
    </mc:Choice>
    <mc:Fallback/>
  </mc:AlternateContent>
  <xdr:twoCellAnchor editAs="oneCell">
    <xdr:from>
      <xdr:col>16</xdr:col>
      <xdr:colOff>585105</xdr:colOff>
      <xdr:row>41</xdr:row>
      <xdr:rowOff>112759</xdr:rowOff>
    </xdr:from>
    <xdr:to>
      <xdr:col>20</xdr:col>
      <xdr:colOff>534496</xdr:colOff>
      <xdr:row>44</xdr:row>
      <xdr:rowOff>45088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85CD7E0D-54DD-4FAD-BBD3-020512844D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1212284" y="9433652"/>
          <a:ext cx="2670819" cy="1466761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358869</xdr:colOff>
      <xdr:row>27</xdr:row>
      <xdr:rowOff>83343</xdr:rowOff>
    </xdr:from>
    <xdr:to>
      <xdr:col>1</xdr:col>
      <xdr:colOff>785294</xdr:colOff>
      <xdr:row>27</xdr:row>
      <xdr:rowOff>937174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E6752415-9ABA-49DE-9BE1-7CF4CB8BD6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156838" y="5917406"/>
          <a:ext cx="426425" cy="853831"/>
        </a:xfrm>
        <a:prstGeom prst="rect">
          <a:avLst/>
        </a:prstGeom>
      </xdr:spPr>
    </xdr:pic>
    <xdr:clientData/>
  </xdr:twoCellAnchor>
  <xdr:twoCellAnchor editAs="oneCell">
    <xdr:from>
      <xdr:col>1</xdr:col>
      <xdr:colOff>404812</xdr:colOff>
      <xdr:row>28</xdr:row>
      <xdr:rowOff>190500</xdr:rowOff>
    </xdr:from>
    <xdr:to>
      <xdr:col>1</xdr:col>
      <xdr:colOff>750093</xdr:colOff>
      <xdr:row>28</xdr:row>
      <xdr:rowOff>933763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37433D5B-88B9-49DB-8B0F-E70DD3E4F8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202781" y="7060406"/>
          <a:ext cx="345281" cy="743263"/>
        </a:xfrm>
        <a:prstGeom prst="rect">
          <a:avLst/>
        </a:prstGeom>
      </xdr:spPr>
    </xdr:pic>
    <xdr:clientData/>
  </xdr:twoCellAnchor>
  <xdr:twoCellAnchor editAs="oneCell">
    <xdr:from>
      <xdr:col>1</xdr:col>
      <xdr:colOff>393542</xdr:colOff>
      <xdr:row>29</xdr:row>
      <xdr:rowOff>107157</xdr:rowOff>
    </xdr:from>
    <xdr:to>
      <xdr:col>1</xdr:col>
      <xdr:colOff>790083</xdr:colOff>
      <xdr:row>29</xdr:row>
      <xdr:rowOff>934805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A87BA5F9-FEC5-4299-B1B1-8A39892B42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3191511" y="8012907"/>
          <a:ext cx="396541" cy="827648"/>
        </a:xfrm>
        <a:prstGeom prst="rect">
          <a:avLst/>
        </a:prstGeom>
      </xdr:spPr>
    </xdr:pic>
    <xdr:clientData/>
  </xdr:twoCellAnchor>
  <xdr:twoCellAnchor editAs="oneCell">
    <xdr:from>
      <xdr:col>1</xdr:col>
      <xdr:colOff>326261</xdr:colOff>
      <xdr:row>26</xdr:row>
      <xdr:rowOff>202406</xdr:rowOff>
    </xdr:from>
    <xdr:to>
      <xdr:col>1</xdr:col>
      <xdr:colOff>940593</xdr:colOff>
      <xdr:row>26</xdr:row>
      <xdr:rowOff>982588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C4A10460-11A5-4AF0-AFE7-C238406172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3124230" y="5000625"/>
          <a:ext cx="614332" cy="780182"/>
        </a:xfrm>
        <a:prstGeom prst="rect">
          <a:avLst/>
        </a:prstGeom>
      </xdr:spPr>
    </xdr:pic>
    <xdr:clientData/>
  </xdr:twoCellAnchor>
  <xdr:oneCellAnchor>
    <xdr:from>
      <xdr:col>1</xdr:col>
      <xdr:colOff>335056</xdr:colOff>
      <xdr:row>38</xdr:row>
      <xdr:rowOff>261937</xdr:rowOff>
    </xdr:from>
    <xdr:ext cx="426425" cy="853831"/>
    <xdr:pic>
      <xdr:nvPicPr>
        <xdr:cNvPr id="14" name="Picture 13">
          <a:extLst>
            <a:ext uri="{FF2B5EF4-FFF2-40B4-BE49-F238E27FC236}">
              <a16:creationId xmlns:a16="http://schemas.microsoft.com/office/drawing/2014/main" id="{DE689B22-DB79-413A-B116-02E2376A6D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133025" y="12763500"/>
          <a:ext cx="426425" cy="853831"/>
        </a:xfrm>
        <a:prstGeom prst="rect">
          <a:avLst/>
        </a:prstGeom>
      </xdr:spPr>
    </xdr:pic>
    <xdr:clientData/>
  </xdr:oneCellAnchor>
  <xdr:oneCellAnchor>
    <xdr:from>
      <xdr:col>1</xdr:col>
      <xdr:colOff>369093</xdr:colOff>
      <xdr:row>39</xdr:row>
      <xdr:rowOff>345281</xdr:rowOff>
    </xdr:from>
    <xdr:ext cx="345281" cy="743263"/>
    <xdr:pic>
      <xdr:nvPicPr>
        <xdr:cNvPr id="15" name="Picture 14">
          <a:extLst>
            <a:ext uri="{FF2B5EF4-FFF2-40B4-BE49-F238E27FC236}">
              <a16:creationId xmlns:a16="http://schemas.microsoft.com/office/drawing/2014/main" id="{51EC44D4-E347-461F-AC9F-B65DACA22E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167062" y="14370844"/>
          <a:ext cx="345281" cy="743263"/>
        </a:xfrm>
        <a:prstGeom prst="rect">
          <a:avLst/>
        </a:prstGeom>
      </xdr:spPr>
    </xdr:pic>
    <xdr:clientData/>
  </xdr:oneCellAnchor>
  <xdr:oneCellAnchor>
    <xdr:from>
      <xdr:col>1</xdr:col>
      <xdr:colOff>322105</xdr:colOff>
      <xdr:row>40</xdr:row>
      <xdr:rowOff>285751</xdr:rowOff>
    </xdr:from>
    <xdr:ext cx="396541" cy="827648"/>
    <xdr:pic>
      <xdr:nvPicPr>
        <xdr:cNvPr id="16" name="Picture 15">
          <a:extLst>
            <a:ext uri="{FF2B5EF4-FFF2-40B4-BE49-F238E27FC236}">
              <a16:creationId xmlns:a16="http://schemas.microsoft.com/office/drawing/2014/main" id="{19F0E7BC-646E-4150-B069-94CEC1832F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3120074" y="15835314"/>
          <a:ext cx="396541" cy="827648"/>
        </a:xfrm>
        <a:prstGeom prst="rect">
          <a:avLst/>
        </a:prstGeom>
      </xdr:spPr>
    </xdr:pic>
    <xdr:clientData/>
  </xdr:oneCellAnchor>
  <xdr:oneCellAnchor>
    <xdr:from>
      <xdr:col>1</xdr:col>
      <xdr:colOff>214311</xdr:colOff>
      <xdr:row>37</xdr:row>
      <xdr:rowOff>215015</xdr:rowOff>
    </xdr:from>
    <xdr:ext cx="726282" cy="922355"/>
    <xdr:pic>
      <xdr:nvPicPr>
        <xdr:cNvPr id="17" name="Picture 16">
          <a:extLst>
            <a:ext uri="{FF2B5EF4-FFF2-40B4-BE49-F238E27FC236}">
              <a16:creationId xmlns:a16="http://schemas.microsoft.com/office/drawing/2014/main" id="{7D758F8A-43E4-43A6-BB9A-0B18A9495A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3012280" y="11192578"/>
          <a:ext cx="726282" cy="922355"/>
        </a:xfrm>
        <a:prstGeom prst="rect">
          <a:avLst/>
        </a:prstGeom>
      </xdr:spPr>
    </xdr:pic>
    <xdr:clientData/>
  </xdr:one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219075</xdr:colOff>
      <xdr:row>3</xdr:row>
      <xdr:rowOff>60386</xdr:rowOff>
    </xdr:from>
    <xdr:to>
      <xdr:col>2</xdr:col>
      <xdr:colOff>815659</xdr:colOff>
      <xdr:row>3</xdr:row>
      <xdr:rowOff>819150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2663BA2E-3443-4D38-AE15-8D5023BC5D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181350" y="2327336"/>
          <a:ext cx="596584" cy="758764"/>
        </a:xfrm>
        <a:prstGeom prst="rect">
          <a:avLst/>
        </a:prstGeom>
      </xdr:spPr>
    </xdr:pic>
    <xdr:clientData/>
  </xdr:twoCellAnchor>
  <xdr:twoCellAnchor editAs="oneCell">
    <xdr:from>
      <xdr:col>2</xdr:col>
      <xdr:colOff>253367</xdr:colOff>
      <xdr:row>4</xdr:row>
      <xdr:rowOff>91441</xdr:rowOff>
    </xdr:from>
    <xdr:to>
      <xdr:col>2</xdr:col>
      <xdr:colOff>592455</xdr:colOff>
      <xdr:row>4</xdr:row>
      <xdr:rowOff>799603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B67FD327-BD8B-4724-B300-60AD878A0B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967992" y="1567816"/>
          <a:ext cx="348613" cy="708162"/>
        </a:xfrm>
        <a:prstGeom prst="rect">
          <a:avLst/>
        </a:prstGeom>
      </xdr:spPr>
    </xdr:pic>
    <xdr:clientData/>
  </xdr:twoCellAnchor>
  <xdr:twoCellAnchor editAs="oneCell">
    <xdr:from>
      <xdr:col>2</xdr:col>
      <xdr:colOff>247650</xdr:colOff>
      <xdr:row>5</xdr:row>
      <xdr:rowOff>5716</xdr:rowOff>
    </xdr:from>
    <xdr:to>
      <xdr:col>2</xdr:col>
      <xdr:colOff>663449</xdr:colOff>
      <xdr:row>5</xdr:row>
      <xdr:rowOff>815340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A089A8D1-BA8B-48F2-8E0C-1A6D4857D5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962275" y="2415541"/>
          <a:ext cx="406274" cy="800099"/>
        </a:xfrm>
        <a:prstGeom prst="rect">
          <a:avLst/>
        </a:prstGeom>
      </xdr:spPr>
    </xdr:pic>
    <xdr:clientData/>
  </xdr:twoCellAnchor>
  <xdr:twoCellAnchor editAs="oneCell">
    <xdr:from>
      <xdr:col>2</xdr:col>
      <xdr:colOff>236220</xdr:colOff>
      <xdr:row>6</xdr:row>
      <xdr:rowOff>19051</xdr:rowOff>
    </xdr:from>
    <xdr:to>
      <xdr:col>2</xdr:col>
      <xdr:colOff>647413</xdr:colOff>
      <xdr:row>6</xdr:row>
      <xdr:rowOff>857251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id="{5F8B6EC9-803C-414B-A965-058F42D6BE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2950845" y="3362326"/>
          <a:ext cx="411193" cy="838200"/>
        </a:xfrm>
        <a:prstGeom prst="rect">
          <a:avLst/>
        </a:prstGeom>
      </xdr:spPr>
    </xdr:pic>
    <xdr:clientData/>
  </xdr:twoCellAnchor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209550</xdr:colOff>
          <xdr:row>0</xdr:row>
          <xdr:rowOff>190500</xdr:rowOff>
        </xdr:from>
        <xdr:to>
          <xdr:col>1</xdr:col>
          <xdr:colOff>1215390</xdr:colOff>
          <xdr:row>0</xdr:row>
          <xdr:rowOff>1125855</xdr:rowOff>
        </xdr:to>
        <xdr:pic>
          <xdr:nvPicPr>
            <xdr:cNvPr id="18" name="Picture 17">
              <a:extLst>
                <a:ext uri="{FF2B5EF4-FFF2-40B4-BE49-F238E27FC236}">
                  <a16:creationId xmlns:a16="http://schemas.microsoft.com/office/drawing/2014/main" id="{4DE4071E-039A-40F6-9A91-5D15E6DEE455}"/>
                </a:ext>
              </a:extLst>
            </xdr:cNvPr>
            <xdr:cNvPicPr>
              <a:picLocks noChangeAspect="1" noChangeArrowheads="1"/>
              <a:extLst>
                <a:ext uri="{84589F7E-364E-4C9E-8A38-B11213B215E9}">
                  <a14:cameraTool cellRange="PackMatch" spid="_x0000_s30765"/>
                </a:ext>
              </a:extLst>
            </xdr:cNvPicPr>
          </xdr:nvPicPr>
          <xdr:blipFill>
            <a:blip xmlns:r="http://schemas.openxmlformats.org/officeDocument/2006/relationships" r:embed="rId5"/>
            <a:srcRect/>
            <a:stretch>
              <a:fillRect/>
            </a:stretch>
          </xdr:blipFill>
          <xdr:spPr bwMode="auto">
            <a:xfrm>
              <a:off x="1152525" y="190500"/>
              <a:ext cx="1005840" cy="935355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pic>
        <xdr:clientData/>
      </xdr:twoCellAnchor>
    </mc:Choice>
    <mc:Fallback/>
  </mc:AlternateContent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/TEMP/notes9A0285/160421%20Neocate%20Voedingswaarde%20Calculator%20Final%20v9%20leeftijd%2014-18.xlsx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14-18 jaar"/>
      <sheetName val="Neocate® ADH Calculator desktop"/>
      <sheetName val="Neocate LCP"/>
      <sheetName val="Neocate Spoon"/>
      <sheetName val="Neocate Junior"/>
      <sheetName val="0-5 maanden"/>
      <sheetName val=" 6-11 maanden"/>
      <sheetName val="1-3 jaar"/>
      <sheetName val=" 4-8 jaar"/>
      <sheetName val="9-13 jaar"/>
      <sheetName val="List_Validations_Cross_Ref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</sheetDataSet>
  </externalBook>
</externalLink>
</file>

<file path=xl/persons/person.xml><?xml version="1.0" encoding="utf-8"?>
<personList xmlns="http://schemas.microsoft.com/office/spreadsheetml/2018/threadedcomments" xmlns:x="http://schemas.openxmlformats.org/spreadsheetml/2006/main">
  <person displayName="CERFONTAINE Femke" id="{A2728EE5-6B1F-45B6-8833-63E4D9991D4A}" userId="S::femke.cerfontaine@nutricia.com::910398bd-e4b8-44cc-bca9-c9d99290c274" providerId="AD"/>
</personList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threadedComments/threadedComment1.xml><?xml version="1.0" encoding="utf-8"?>
<ThreadedComments xmlns="http://schemas.microsoft.com/office/spreadsheetml/2018/threadedcomments" xmlns:x="http://schemas.openxmlformats.org/spreadsheetml/2006/main">
  <threadedComment ref="A48" dT="2020-12-04T18:06:19.40" personId="{A2728EE5-6B1F-45B6-8833-63E4D9991D4A}" id="{25111191-A8B1-41E3-A2A5-378B6E57347D}">
    <text>! constante; wijzigt niet als concentratie wijzigt.</text>
  </threadedComment>
</ThreadedComments>
</file>

<file path=xl/threadedComments/threadedComment2.xml><?xml version="1.0" encoding="utf-8"?>
<ThreadedComments xmlns="http://schemas.microsoft.com/office/spreadsheetml/2018/threadedcomments" xmlns:x="http://schemas.openxmlformats.org/spreadsheetml/2006/main">
  <threadedComment ref="A52" dT="2020-12-04T18:06:19.40" personId="{A2728EE5-6B1F-45B6-8833-63E4D9991D4A}" id="{B9DFDA48-8391-45D8-9DA4-35065D607FE4}">
    <text>! constante; wijzigt niet als concentratie wijzigt.</text>
  </threadedComment>
</ThreadedComments>
</file>

<file path=xl/threadedComments/threadedComment3.xml><?xml version="1.0" encoding="utf-8"?>
<ThreadedComments xmlns="http://schemas.microsoft.com/office/spreadsheetml/2018/threadedcomments" xmlns:x="http://schemas.openxmlformats.org/spreadsheetml/2006/main">
  <threadedComment ref="A52" dT="2020-12-04T18:06:19.40" personId="{A2728EE5-6B1F-45B6-8833-63E4D9991D4A}" id="{4FB37511-8A3B-4E2B-B657-6BB37C60D42F}">
    <text>! constante; wijzigt niet als concentratie wijzigt.</text>
  </threadedComment>
</ThreadedComments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.vml"/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9.xml.rels><?xml version="1.0" encoding="UTF-8" standalone="yes"?>
<Relationships xmlns="http://schemas.openxmlformats.org/package/2006/relationships"><Relationship Id="rId2" Type="http://schemas.openxmlformats.org/officeDocument/2006/relationships/vmlDrawing" Target="../drawings/vmlDrawing2.vml"/><Relationship Id="rId1" Type="http://schemas.openxmlformats.org/officeDocument/2006/relationships/drawing" Target="../drawings/drawing3.xml"/></Relationships>
</file>

<file path=xl/worksheets/_rels/sheet15.xml.rels><?xml version="1.0" encoding="UTF-8" standalone="yes"?>
<Relationships xmlns="http://schemas.openxmlformats.org/package/2006/relationships"><Relationship Id="rId3" Type="http://schemas.openxmlformats.org/officeDocument/2006/relationships/comments" Target="../comments1.xml"/><Relationship Id="rId2" Type="http://schemas.openxmlformats.org/officeDocument/2006/relationships/vmlDrawing" Target="../drawings/vmlDrawing3.vml"/><Relationship Id="rId1" Type="http://schemas.openxmlformats.org/officeDocument/2006/relationships/printerSettings" Target="../printerSettings/printerSettings3.bin"/><Relationship Id="rId4" Type="http://schemas.microsoft.com/office/2017/10/relationships/threadedComment" Target="../threadedComments/threadedComment1.xml"/></Relationships>
</file>

<file path=xl/worksheets/_rels/sheet16.xml.rels><?xml version="1.0" encoding="UTF-8" standalone="yes"?>
<Relationships xmlns="http://schemas.openxmlformats.org/package/2006/relationships"><Relationship Id="rId3" Type="http://schemas.openxmlformats.org/officeDocument/2006/relationships/comments" Target="../comments2.xml"/><Relationship Id="rId2" Type="http://schemas.openxmlformats.org/officeDocument/2006/relationships/vmlDrawing" Target="../drawings/vmlDrawing4.vml"/><Relationship Id="rId1" Type="http://schemas.openxmlformats.org/officeDocument/2006/relationships/printerSettings" Target="../printerSettings/printerSettings4.bin"/><Relationship Id="rId4" Type="http://schemas.microsoft.com/office/2017/10/relationships/threadedComment" Target="../threadedComments/threadedComment2.xml"/></Relationships>
</file>

<file path=xl/worksheets/_rels/sheet17.xml.rels><?xml version="1.0" encoding="UTF-8" standalone="yes"?>
<Relationships xmlns="http://schemas.openxmlformats.org/package/2006/relationships"><Relationship Id="rId3" Type="http://schemas.microsoft.com/office/2017/10/relationships/threadedComment" Target="../threadedComments/threadedComment3.xml"/><Relationship Id="rId2" Type="http://schemas.openxmlformats.org/officeDocument/2006/relationships/comments" Target="../comments3.xml"/><Relationship Id="rId1" Type="http://schemas.openxmlformats.org/officeDocument/2006/relationships/vmlDrawing" Target="../drawings/vmlDrawing5.v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 codeName="Sheet1">
    <tabColor theme="7" tint="0.39997558519241921"/>
    <pageSetUpPr autoPageBreaks="0" fitToPage="1"/>
  </sheetPr>
  <dimension ref="A1:DJ89"/>
  <sheetViews>
    <sheetView showGridLines="0" tabSelected="1" view="pageLayout" topLeftCell="D1" zoomScale="90" zoomScaleNormal="80" zoomScaleSheetLayoutView="100" zoomScalePageLayoutView="90" workbookViewId="0">
      <selection activeCell="G17" sqref="G17"/>
    </sheetView>
  </sheetViews>
  <sheetFormatPr defaultColWidth="8.88671875" defaultRowHeight="13.8" outlineLevelCol="1" x14ac:dyDescent="0.25"/>
  <cols>
    <col min="1" max="1" width="5.33203125" style="9" hidden="1" customWidth="1" outlineLevel="1"/>
    <col min="2" max="2" width="0.33203125" style="9" hidden="1" customWidth="1" outlineLevel="1"/>
    <col min="3" max="3" width="2.6640625" style="9" hidden="1" customWidth="1" outlineLevel="1"/>
    <col min="4" max="4" width="12.88671875" style="9" customWidth="1" collapsed="1"/>
    <col min="5" max="5" width="13.109375" style="9" customWidth="1"/>
    <col min="6" max="6" width="20.88671875" style="9" customWidth="1"/>
    <col min="7" max="7" width="10.5546875" style="9" bestFit="1" customWidth="1"/>
    <col min="8" max="8" width="7.88671875" style="9" bestFit="1" customWidth="1"/>
    <col min="9" max="9" width="8.109375" style="9" customWidth="1"/>
    <col min="10" max="10" width="10.109375" style="9" bestFit="1" customWidth="1"/>
    <col min="11" max="11" width="8.109375" style="9" customWidth="1"/>
    <col min="12" max="12" width="10.44140625" style="9" bestFit="1" customWidth="1"/>
    <col min="13" max="13" width="2.33203125" style="9" customWidth="1"/>
    <col min="14" max="14" width="25" style="9" customWidth="1"/>
    <col min="15" max="15" width="11" style="9" bestFit="1" customWidth="1"/>
    <col min="16" max="16" width="10.5546875" style="9" customWidth="1"/>
    <col min="17" max="17" width="10" style="9" bestFit="1" customWidth="1"/>
    <col min="18" max="18" width="8.33203125" style="9" customWidth="1"/>
    <col min="19" max="19" width="14.33203125" style="9" customWidth="1"/>
    <col min="20" max="20" width="8.109375" style="9" customWidth="1"/>
    <col min="21" max="21" width="9.88671875" style="9" bestFit="1" customWidth="1"/>
    <col min="22" max="22" width="3.44140625" style="16" hidden="1" customWidth="1" outlineLevel="1"/>
    <col min="23" max="24" width="0" style="16" hidden="1" customWidth="1" outlineLevel="1"/>
    <col min="25" max="25" width="8.88671875" style="16" collapsed="1"/>
    <col min="26" max="112" width="8.88671875" style="16"/>
    <col min="113" max="114" width="18.44140625" style="9" customWidth="1"/>
    <col min="115" max="16384" width="8.88671875" style="9"/>
  </cols>
  <sheetData>
    <row r="1" spans="1:23" ht="41.25" customHeight="1" x14ac:dyDescent="0.4">
      <c r="D1" s="253" t="s">
        <v>0</v>
      </c>
      <c r="E1" s="254"/>
      <c r="F1" s="254"/>
      <c r="G1" s="254"/>
      <c r="H1" s="254"/>
      <c r="I1" s="254"/>
      <c r="J1" s="254"/>
      <c r="K1" s="254"/>
      <c r="L1" s="254"/>
      <c r="M1" s="254"/>
      <c r="N1" s="254"/>
      <c r="O1" s="1"/>
      <c r="P1" s="2"/>
      <c r="Q1" s="2"/>
      <c r="R1" s="2"/>
      <c r="S1" s="2"/>
      <c r="T1" s="275" t="s">
        <v>1</v>
      </c>
      <c r="U1" s="276"/>
    </row>
    <row r="2" spans="1:23" ht="18" customHeight="1" x14ac:dyDescent="0.25">
      <c r="D2" s="255" t="s">
        <v>2</v>
      </c>
      <c r="E2" s="255"/>
      <c r="F2" s="255"/>
      <c r="G2" s="255"/>
      <c r="H2" s="255"/>
      <c r="I2" s="255"/>
      <c r="J2" s="255"/>
      <c r="K2" s="255"/>
      <c r="L2" s="255"/>
      <c r="M2" s="255"/>
      <c r="N2" s="255"/>
      <c r="O2" s="255"/>
      <c r="P2" s="255"/>
      <c r="Q2" s="255"/>
      <c r="R2" s="255"/>
      <c r="S2" s="255"/>
      <c r="T2" s="255"/>
      <c r="U2" s="255"/>
    </row>
    <row r="3" spans="1:23" ht="21" customHeight="1" x14ac:dyDescent="0.25">
      <c r="D3" s="256" t="s">
        <v>3</v>
      </c>
      <c r="E3" s="257"/>
      <c r="F3" s="257"/>
      <c r="G3" s="257"/>
      <c r="H3" s="257"/>
      <c r="I3" s="257"/>
      <c r="J3" s="257"/>
      <c r="K3" s="257"/>
      <c r="L3" s="258"/>
      <c r="M3" s="262"/>
      <c r="N3" s="277" t="str">
        <f>"Product benodigd voor"&amp;" "&amp;G17&amp;" "&amp;I17&amp;":"</f>
        <v>Product benodigd voor 100 calorieën:</v>
      </c>
      <c r="O3" s="278"/>
      <c r="P3" s="278"/>
      <c r="Q3" s="278"/>
      <c r="R3" s="278"/>
      <c r="S3" s="3">
        <f>G17/F28*100</f>
        <v>20.040080160320642</v>
      </c>
      <c r="T3" s="263" t="str">
        <f>IF(D5="Infatrini in poedervorm","gram","ml")</f>
        <v>gram</v>
      </c>
      <c r="U3" s="264"/>
    </row>
    <row r="4" spans="1:23" ht="15.75" customHeight="1" x14ac:dyDescent="0.25">
      <c r="D4" s="259"/>
      <c r="E4" s="260"/>
      <c r="F4" s="260"/>
      <c r="G4" s="260"/>
      <c r="H4" s="260"/>
      <c r="I4" s="260"/>
      <c r="J4" s="260"/>
      <c r="K4" s="260"/>
      <c r="L4" s="261"/>
      <c r="M4" s="262"/>
      <c r="N4" s="279"/>
      <c r="O4" s="280"/>
      <c r="P4" s="280"/>
      <c r="Q4" s="280"/>
      <c r="R4" s="280"/>
      <c r="S4" s="163">
        <f>IF(D5="Infatrini in poedervorm",S3/'Infatrini poeder oplossingen'!E17,"")</f>
        <v>4.0080160320641287</v>
      </c>
      <c r="T4" s="4" t="str">
        <f>IF(D5="Infatrini in poedervorm","maatschepjes","")</f>
        <v>maatschepjes</v>
      </c>
      <c r="U4" s="5"/>
    </row>
    <row r="5" spans="1:23" ht="15.75" customHeight="1" x14ac:dyDescent="0.25">
      <c r="D5" s="283" t="s">
        <v>4</v>
      </c>
      <c r="E5" s="284"/>
      <c r="F5" s="284"/>
      <c r="G5" s="284"/>
      <c r="H5" s="284"/>
      <c r="I5" s="284"/>
      <c r="J5" s="285"/>
      <c r="K5" s="235"/>
      <c r="L5" s="236"/>
      <c r="M5" s="262"/>
      <c r="N5" s="281"/>
      <c r="O5" s="282"/>
      <c r="P5" s="282"/>
      <c r="Q5" s="282"/>
      <c r="R5" s="282"/>
      <c r="S5" s="6"/>
      <c r="T5" s="7"/>
      <c r="U5" s="8"/>
    </row>
    <row r="6" spans="1:23" ht="15.75" customHeight="1" x14ac:dyDescent="0.25">
      <c r="D6" s="286"/>
      <c r="E6" s="287"/>
      <c r="F6" s="287"/>
      <c r="G6" s="287"/>
      <c r="H6" s="287"/>
      <c r="I6" s="287"/>
      <c r="J6" s="288"/>
      <c r="K6" s="237"/>
      <c r="L6" s="238"/>
      <c r="M6" s="262"/>
    </row>
    <row r="7" spans="1:23" ht="15.75" customHeight="1" x14ac:dyDescent="0.25">
      <c r="A7" s="9" t="str">
        <f>D5</f>
        <v>Infatrini in poedervorm</v>
      </c>
      <c r="D7" s="286"/>
      <c r="E7" s="287"/>
      <c r="F7" s="287"/>
      <c r="G7" s="287"/>
      <c r="H7" s="287"/>
      <c r="I7" s="287"/>
      <c r="J7" s="288"/>
      <c r="K7" s="237"/>
      <c r="L7" s="238"/>
      <c r="M7" s="262"/>
      <c r="N7" s="10" t="s">
        <v>5</v>
      </c>
      <c r="O7" s="10" t="str">
        <f>F27</f>
        <v>per 100 g</v>
      </c>
      <c r="P7" s="232" t="str">
        <f>G27</f>
        <v>Per 20 g</v>
      </c>
      <c r="Q7" s="233"/>
      <c r="R7" s="230" t="str">
        <f>D24&amp;"*"</f>
        <v>Meisje 0-5 maanden*</v>
      </c>
      <c r="S7" s="230"/>
      <c r="T7" s="231"/>
      <c r="U7" s="74" t="s">
        <v>6</v>
      </c>
    </row>
    <row r="8" spans="1:23" ht="15.75" customHeight="1" x14ac:dyDescent="0.25">
      <c r="D8" s="286"/>
      <c r="E8" s="287"/>
      <c r="F8" s="287"/>
      <c r="G8" s="287"/>
      <c r="H8" s="287"/>
      <c r="I8" s="287"/>
      <c r="J8" s="288"/>
      <c r="K8" s="237"/>
      <c r="L8" s="238"/>
      <c r="M8" s="262"/>
      <c r="N8" s="76" t="s">
        <v>7</v>
      </c>
      <c r="O8" s="198">
        <f>IF($D$5="Infatrini in poedervorm",VLOOKUP($N8,'Infatrini poeder'!$A:$C,2,FALSE),IF('Infatrini Calculator desktop'!$D$5="Infatrini 125ml",VLOOKUP('Infatrini Calculator desktop'!$N8,'Infatrini liquid'!$A:$C,2,FALSE),IF('Infatrini Calculator desktop'!$D$5="Infatrini 200ml",VLOOKUP('Infatrini Calculator desktop'!$N8,'Infatrini liquid'!$A:$C,2,FALSE),IF('Infatrini Calculator desktop'!$D$5="Infatrini peptisorb",VLOOKUP('Infatrini Calculator desktop'!$N8,'Infatrini peptisorb'!$A:$C,2,FALSE)))))</f>
        <v>439</v>
      </c>
      <c r="P8" s="201">
        <f t="shared" ref="P8:P22" si="0">IF(O8=0,"",$G$28*O8/$F$28)</f>
        <v>87.975951903807612</v>
      </c>
      <c r="Q8" s="77" t="str">
        <f>VLOOKUP($D$24&amp;N8,'nutr demand all ages'!C:E,3,FALSE)</f>
        <v>µg**</v>
      </c>
      <c r="R8" s="78" t="str">
        <f>VLOOKUP($D$24&amp;N8,'nutr demand all ages'!$C:$I,7,FALSE)</f>
        <v>AH</v>
      </c>
      <c r="S8" s="79">
        <f>IF(W8="abs",VLOOKUP($D$24&amp;N8,'nutr demand all ages'!$C:$G,5,FALSE),VLOOKUP($D$24&amp;N8,'nutr demand all ages'!$C:$G,5,FALSE)*'Infatrini Calculator desktop'!$H$25)</f>
        <v>0</v>
      </c>
      <c r="T8" s="77" t="str">
        <f>IF(W8="abs",VLOOKUP($D$24&amp;N8,'nutr demand all ages'!$C:$E,3,FALSE),LEFT(VLOOKUP($D$24&amp;N8,'nutr demand all ages'!$C:$E,3,FALSE),4))</f>
        <v>µg**</v>
      </c>
      <c r="U8" s="80" t="str">
        <f>IFERROR(IF(AND(Q8="mg",T8="mcg"),P8/S8*1000,IF(AND(Q8="mcg",T8="mg"),P8/S8/1000,P8/S8)),"")</f>
        <v/>
      </c>
      <c r="W8" s="16" t="str">
        <f>VLOOKUP($D$24&amp;N8,'nutr demand all ages'!C:F,4,FALSE)</f>
        <v>abs</v>
      </c>
    </row>
    <row r="9" spans="1:23" ht="15.75" customHeight="1" x14ac:dyDescent="0.25">
      <c r="D9" s="289"/>
      <c r="E9" s="290"/>
      <c r="F9" s="290"/>
      <c r="G9" s="290"/>
      <c r="H9" s="290"/>
      <c r="I9" s="290"/>
      <c r="J9" s="291"/>
      <c r="K9" s="239"/>
      <c r="L9" s="240"/>
      <c r="M9" s="262"/>
      <c r="N9" s="81" t="s">
        <v>8</v>
      </c>
      <c r="O9" s="199">
        <f>IF($D$5="Infatrini in poedervorm",VLOOKUP($N9,'Infatrini poeder'!$A:$C,2,FALSE),IF('Infatrini Calculator desktop'!$D$5="Infatrini 125ml",VLOOKUP('Infatrini Calculator desktop'!$N9,'Infatrini liquid'!$A:$C,2,FALSE),IF('Infatrini Calculator desktop'!$D$5="Infatrini 200ml",VLOOKUP('Infatrini Calculator desktop'!$N9,'Infatrini liquid'!$A:$C,2,FALSE),IF('Infatrini Calculator desktop'!$D$5="Infatrini peptisorb",VLOOKUP('Infatrini Calculator desktop'!$N9,'Infatrini peptisorb'!$A:$C,2,FALSE)))))</f>
        <v>12</v>
      </c>
      <c r="P9" s="202">
        <f t="shared" si="0"/>
        <v>2.4048096192384771</v>
      </c>
      <c r="Q9" s="82" t="str">
        <f>VLOOKUP($D$24&amp;N9,'nutr demand all ages'!C:E,3,FALSE)</f>
        <v>µg</v>
      </c>
      <c r="R9" s="83" t="str">
        <f>VLOOKUP($D$24&amp;N9,'nutr demand all ages'!$C:$I,7,FALSE)</f>
        <v>AI</v>
      </c>
      <c r="S9" s="84">
        <f>IF(W9="abs",VLOOKUP($D$24&amp;N9,'nutr demand all ages'!$C:$G,5,FALSE),VLOOKUP($D$24&amp;N9,'nutr demand all ages'!$C:$G,5,FALSE)*'Infatrini Calculator desktop'!$H$25)</f>
        <v>10</v>
      </c>
      <c r="T9" s="82" t="str">
        <f>IF(W9="abs",VLOOKUP($D$24&amp;N9,'nutr demand all ages'!$C:$E,3,FALSE),LEFT(VLOOKUP($D$24&amp;N9,'nutr demand all ages'!$C:$E,3,FALSE),4))</f>
        <v>µg</v>
      </c>
      <c r="U9" s="85">
        <f t="shared" ref="U9" si="1">IFERROR(IF(AND(Q9="mg",T9="mcg"),P9/S9*1000,IF(AND(Q9="mcg",T9="mg"),P9/S9/1000,P9/S9)),"")</f>
        <v>0.24048096192384771</v>
      </c>
      <c r="W9" s="16" t="str">
        <f>VLOOKUP($D$24&amp;N9,'nutr demand all ages'!C:F,4,FALSE)</f>
        <v>abs</v>
      </c>
    </row>
    <row r="10" spans="1:23" ht="18.75" customHeight="1" x14ac:dyDescent="0.25">
      <c r="D10" s="244" t="str">
        <f>VLOOKUP($D$5,List_Validations_Cross_Ref!$A$17:$B$20,2,0)</f>
        <v xml:space="preserve">Infatrini is een voeding voor medisch gebruik. Dieetvoeding bij ziektegerelateerde ondervoeding en groeiachterstand bij zuigelingen.                 </v>
      </c>
      <c r="E10" s="245"/>
      <c r="F10" s="245"/>
      <c r="G10" s="245"/>
      <c r="H10" s="245"/>
      <c r="I10" s="245"/>
      <c r="J10" s="245"/>
      <c r="K10" s="245"/>
      <c r="L10" s="246"/>
      <c r="M10" s="262"/>
      <c r="N10" s="76" t="s">
        <v>9</v>
      </c>
      <c r="O10" s="154">
        <f>IF($D$5="Infatrini in poedervorm",VLOOKUP($N10,'Infatrini poeder'!$A:$C,2,FALSE),IF('Infatrini Calculator desktop'!$D$5="Infatrini 125ml",VLOOKUP('Infatrini Calculator desktop'!$N10,'Infatrini liquid'!$A:$C,2,FALSE),IF('Infatrini Calculator desktop'!$D$5="Infatrini 200ml",VLOOKUP('Infatrini Calculator desktop'!$N10,'Infatrini liquid'!$A:$C,2,FALSE),IF('Infatrini Calculator desktop'!$D$5="Infatrini peptisorb",VLOOKUP('Infatrini Calculator desktop'!$N10,'Infatrini peptisorb'!$A:$C,2,FALSE)))))</f>
        <v>10.5</v>
      </c>
      <c r="P10" s="203">
        <f t="shared" si="0"/>
        <v>2.1042084168336674</v>
      </c>
      <c r="Q10" s="77" t="str">
        <f>VLOOKUP($D$24&amp;N10,'nutr demand all ages'!C:E,3,FALSE)</f>
        <v>mg**</v>
      </c>
      <c r="R10" s="78" t="str">
        <f>VLOOKUP($D$24&amp;N10,'nutr demand all ages'!$C:$I,7,FALSE)</f>
        <v>AH</v>
      </c>
      <c r="S10" s="193">
        <f>IF(W10="abs",VLOOKUP($D$24&amp;N10,'nutr demand all ages'!$C:$G,5,FALSE),VLOOKUP($D$24&amp;N10,'nutr demand all ages'!$C:$G,5,FALSE)*'Infatrini Calculator desktop'!$H$25)</f>
        <v>0</v>
      </c>
      <c r="T10" s="77" t="str">
        <f>IF(W10="abs",VLOOKUP($D$24&amp;N10,'nutr demand all ages'!$C:$E,3,FALSE),LEFT(VLOOKUP($D$24&amp;N10,'nutr demand all ages'!$C:$E,3,FALSE),4))</f>
        <v>mg**</v>
      </c>
      <c r="U10" s="80" t="str">
        <f t="shared" ref="U10:U22" si="2">IFERROR(IF(AND(Q10="mg",T10="mcg"),P10/S10*1000,IF(AND(Q10="mcg",T10="mg"),P10/S10/1000,P10/S10)),"")</f>
        <v/>
      </c>
      <c r="W10" s="16" t="str">
        <f>VLOOKUP($D$24&amp;N10,'nutr demand all ages'!C:F,4,FALSE)</f>
        <v>abs</v>
      </c>
    </row>
    <row r="11" spans="1:23" ht="18.75" customHeight="1" x14ac:dyDescent="0.25">
      <c r="D11" s="247"/>
      <c r="E11" s="248"/>
      <c r="F11" s="248"/>
      <c r="G11" s="248"/>
      <c r="H11" s="248"/>
      <c r="I11" s="248"/>
      <c r="J11" s="248"/>
      <c r="K11" s="248"/>
      <c r="L11" s="249"/>
      <c r="M11" s="262"/>
      <c r="N11" s="81" t="s">
        <v>10</v>
      </c>
      <c r="O11" s="155">
        <f>IF($D$5="Infatrini in poedervorm",VLOOKUP($N11,'Infatrini poeder'!$A:$C,2,FALSE),IF('Infatrini Calculator desktop'!$D$5="Infatrini 125ml",VLOOKUP('Infatrini Calculator desktop'!$N11,'Infatrini liquid'!$A:$C,2,FALSE),IF('Infatrini Calculator desktop'!$D$5="Infatrini 200ml",VLOOKUP('Infatrini Calculator desktop'!$N11,'Infatrini liquid'!$A:$C,2,FALSE),IF('Infatrini Calculator desktop'!$D$5="Infatrini peptisorb",VLOOKUP('Infatrini Calculator desktop'!$N11,'Infatrini peptisorb'!$A:$C,2,FALSE)))))</f>
        <v>35.299999999999997</v>
      </c>
      <c r="P11" s="204">
        <f t="shared" si="0"/>
        <v>7.0741482965931857</v>
      </c>
      <c r="Q11" s="82" t="str">
        <f>VLOOKUP($D$24&amp;N11,'nutr demand all ages'!C:E,3,FALSE)</f>
        <v>µg</v>
      </c>
      <c r="R11" s="83" t="str">
        <f>VLOOKUP($D$24&amp;N11,'nutr demand all ages'!$C:$I,7,FALSE)</f>
        <v>AI</v>
      </c>
      <c r="S11" s="84">
        <f>IF(W11="abs",VLOOKUP($D$24&amp;N11,'nutr demand all ages'!$C:$G,5,FALSE),VLOOKUP($D$24&amp;N11,'nutr demand all ages'!$C:$G,5,FALSE)*'Infatrini Calculator desktop'!$H$25)</f>
        <v>150</v>
      </c>
      <c r="T11" s="82" t="str">
        <f>IF(W11="abs",VLOOKUP($D$24&amp;N11,'nutr demand all ages'!$C:$E,3,FALSE),LEFT(VLOOKUP($D$24&amp;N11,'nutr demand all ages'!$C:$E,3,FALSE),4))</f>
        <v>µg</v>
      </c>
      <c r="U11" s="85">
        <f t="shared" si="2"/>
        <v>4.7160988643954571E-2</v>
      </c>
      <c r="W11" s="16" t="str">
        <f>VLOOKUP($D$24&amp;N11,'nutr demand all ages'!C:F,4,FALSE)</f>
        <v>abs</v>
      </c>
    </row>
    <row r="12" spans="1:23" ht="18.75" customHeight="1" x14ac:dyDescent="0.25">
      <c r="D12" s="247"/>
      <c r="E12" s="248"/>
      <c r="F12" s="248"/>
      <c r="G12" s="248"/>
      <c r="H12" s="248"/>
      <c r="I12" s="248"/>
      <c r="J12" s="248"/>
      <c r="K12" s="248"/>
      <c r="L12" s="249"/>
      <c r="M12" s="262"/>
      <c r="N12" s="76" t="s">
        <v>11</v>
      </c>
      <c r="O12" s="200">
        <f>IF($D$5="Infatrini in poedervorm",VLOOKUP($N12,'Infatrini poeder'!$A:$C,2,FALSE),IF('Infatrini Calculator desktop'!$D$5="Infatrini 125ml",VLOOKUP('Infatrini Calculator desktop'!$N12,'Infatrini liquid'!$A:$C,2,FALSE),IF('Infatrini Calculator desktop'!$D$5="Infatrini 200ml",VLOOKUP('Infatrini Calculator desktop'!$N12,'Infatrini liquid'!$A:$C,2,FALSE),IF('Infatrini Calculator desktop'!$D$5="Infatrini peptisorb",VLOOKUP('Infatrini Calculator desktop'!$N12,'Infatrini peptisorb'!$A:$C,2,FALSE)))))</f>
        <v>0.75</v>
      </c>
      <c r="P12" s="205">
        <f t="shared" si="0"/>
        <v>0.15030060120240482</v>
      </c>
      <c r="Q12" s="77" t="str">
        <f>VLOOKUP($D$24&amp;N12,'nutr demand all ages'!C:E,3,FALSE)</f>
        <v>mg</v>
      </c>
      <c r="R12" s="78" t="str">
        <f>VLOOKUP($D$24&amp;N12,'nutr demand all ages'!$C:$I,7,FALSE)</f>
        <v>AI/AH</v>
      </c>
      <c r="S12" s="195">
        <f>IF(W12="abs",VLOOKUP($D$24&amp;N12,'nutr demand all ages'!$C:$G,5,FALSE),VLOOKUP($D$24&amp;N12,'nutr demand all ages'!$C:$G,5,FALSE)*'Infatrini Calculator desktop'!$H$25)</f>
        <v>0.2</v>
      </c>
      <c r="T12" s="77" t="str">
        <f>IF(W12="abs",VLOOKUP($D$24&amp;N12,'nutr demand all ages'!$C:$E,3,FALSE),LEFT(VLOOKUP($D$24&amp;N12,'nutr demand all ages'!$C:$E,3,FALSE),4))</f>
        <v>mg</v>
      </c>
      <c r="U12" s="80">
        <f t="shared" si="2"/>
        <v>0.75150300601202402</v>
      </c>
      <c r="W12" s="16" t="str">
        <f>VLOOKUP($D$24&amp;N12,'nutr demand all ages'!C:F,4,FALSE)</f>
        <v>abs</v>
      </c>
    </row>
    <row r="13" spans="1:23" ht="18.75" customHeight="1" x14ac:dyDescent="0.25">
      <c r="D13" s="250"/>
      <c r="E13" s="251"/>
      <c r="F13" s="251"/>
      <c r="G13" s="251"/>
      <c r="H13" s="251"/>
      <c r="I13" s="251"/>
      <c r="J13" s="251"/>
      <c r="K13" s="251"/>
      <c r="L13" s="252"/>
      <c r="M13" s="262"/>
      <c r="N13" s="81" t="s">
        <v>12</v>
      </c>
      <c r="O13" s="199">
        <f>IF($D$5="Infatrini in poedervorm",VLOOKUP($N13,'Infatrini poeder'!$A:$C,2,FALSE),IF('Infatrini Calculator desktop'!$D$5="Infatrini 125ml",VLOOKUP('Infatrini Calculator desktop'!$N13,'Infatrini liquid'!$A:$C,2,FALSE),IF('Infatrini Calculator desktop'!$D$5="Infatrini 200ml",VLOOKUP('Infatrini Calculator desktop'!$N13,'Infatrini liquid'!$A:$C,2,FALSE),IF('Infatrini Calculator desktop'!$D$5="Infatrini peptisorb",VLOOKUP('Infatrini Calculator desktop'!$N13,'Infatrini peptisorb'!$A:$C,2,FALSE)))))</f>
        <v>1</v>
      </c>
      <c r="P13" s="202">
        <f t="shared" si="0"/>
        <v>0.20040080160320642</v>
      </c>
      <c r="Q13" s="82" t="str">
        <f>VLOOKUP($D$24&amp;N13,'nutr demand all ages'!C:E,3,FALSE)</f>
        <v>mg</v>
      </c>
      <c r="R13" s="83" t="str">
        <f>VLOOKUP($D$24&amp;N13,'nutr demand all ages'!$C:$I,7,FALSE)</f>
        <v>AI/AH</v>
      </c>
      <c r="S13" s="84">
        <f>IF(W13="abs",VLOOKUP($D$24&amp;N13,'nutr demand all ages'!$C:$G,5,FALSE),VLOOKUP($D$24&amp;N13,'nutr demand all ages'!$C:$G,5,FALSE)*'Infatrini Calculator desktop'!$H$25)</f>
        <v>0.4</v>
      </c>
      <c r="T13" s="82" t="str">
        <f>IF(W13="abs",VLOOKUP($D$24&amp;N13,'nutr demand all ages'!$C:$E,3,FALSE),LEFT(VLOOKUP($D$24&amp;N13,'nutr demand all ages'!$C:$E,3,FALSE),4))</f>
        <v>mg</v>
      </c>
      <c r="U13" s="85">
        <f t="shared" si="2"/>
        <v>0.50100200400801598</v>
      </c>
      <c r="W13" s="16" t="str">
        <f>VLOOKUP($D$24&amp;N13,'nutr demand all ages'!C:F,4,FALSE)</f>
        <v>abs</v>
      </c>
    </row>
    <row r="14" spans="1:23" ht="15.75" customHeight="1" x14ac:dyDescent="0.25">
      <c r="D14" s="265" t="s">
        <v>13</v>
      </c>
      <c r="E14" s="266"/>
      <c r="F14" s="266"/>
      <c r="G14" s="266"/>
      <c r="H14" s="266"/>
      <c r="I14" s="266"/>
      <c r="J14" s="266"/>
      <c r="K14" s="266"/>
      <c r="L14" s="267"/>
      <c r="M14" s="262"/>
      <c r="N14" s="76" t="s">
        <v>14</v>
      </c>
      <c r="O14" s="154">
        <f>IF($D$5="Infatrini in poedervorm",VLOOKUP($N14,'Infatrini poeder'!$A:$C,2,FALSE),IF('Infatrini Calculator desktop'!$D$5="Infatrini 125ml",VLOOKUP('Infatrini Calculator desktop'!$N14,'Infatrini liquid'!$A:$C,2,FALSE),IF('Infatrini Calculator desktop'!$D$5="Infatrini 200ml",VLOOKUP('Infatrini Calculator desktop'!$N14,'Infatrini liquid'!$A:$C,2,FALSE),IF('Infatrini Calculator desktop'!$D$5="Infatrini peptisorb",VLOOKUP('Infatrini Calculator desktop'!$N14,'Infatrini peptisorb'!$A:$C,2,FALSE)))))</f>
        <v>0.55000000000000004</v>
      </c>
      <c r="P14" s="203">
        <f t="shared" si="0"/>
        <v>0.11022044088176354</v>
      </c>
      <c r="Q14" s="77" t="str">
        <f>VLOOKUP($D$24&amp;N14,'nutr demand all ages'!C:E,3,FALSE)</f>
        <v>mg</v>
      </c>
      <c r="R14" s="78" t="str">
        <f>VLOOKUP($D$24&amp;N14,'nutr demand all ages'!$C:$I,7,FALSE)</f>
        <v>AI/AH</v>
      </c>
      <c r="S14" s="79">
        <f>IF(W14="abs",VLOOKUP($D$24&amp;N14,'nutr demand all ages'!$C:$G,5,FALSE),VLOOKUP($D$24&amp;N14,'nutr demand all ages'!$C:$G,5,FALSE)*'Infatrini Calculator desktop'!$H$25)</f>
        <v>0.2</v>
      </c>
      <c r="T14" s="77" t="str">
        <f>IF(W14="abs",VLOOKUP($D$24&amp;N14,'nutr demand all ages'!$C:$E,3,FALSE),LEFT(VLOOKUP($D$24&amp;N14,'nutr demand all ages'!$C:$E,3,FALSE),4))</f>
        <v>mg</v>
      </c>
      <c r="U14" s="80">
        <f t="shared" si="2"/>
        <v>0.55110220440881763</v>
      </c>
      <c r="W14" s="16" t="str">
        <f>VLOOKUP($D$24&amp;N14,'nutr demand all ages'!C:F,4,FALSE)</f>
        <v>abs</v>
      </c>
    </row>
    <row r="15" spans="1:23" ht="15.75" customHeight="1" x14ac:dyDescent="0.25">
      <c r="D15" s="268" t="str">
        <f>D5</f>
        <v>Infatrini in poedervorm</v>
      </c>
      <c r="E15" s="269"/>
      <c r="F15" s="269"/>
      <c r="G15" s="269"/>
      <c r="H15" s="269"/>
      <c r="I15" s="269"/>
      <c r="J15" s="269"/>
      <c r="K15" s="269"/>
      <c r="L15" s="270"/>
      <c r="M15" s="262"/>
      <c r="N15" s="81" t="s">
        <v>15</v>
      </c>
      <c r="O15" s="155">
        <f>IF($D$5="Infatrini in poedervorm",VLOOKUP($N15,'Infatrini poeder'!$A:$C,2,FALSE),IF('Infatrini Calculator desktop'!$D$5="Infatrini 125ml",VLOOKUP('Infatrini Calculator desktop'!$N15,'Infatrini liquid'!$A:$C,2,FALSE),IF('Infatrini Calculator desktop'!$D$5="Infatrini 200ml",VLOOKUP('Infatrini Calculator desktop'!$N15,'Infatrini liquid'!$A:$C,2,FALSE),IF('Infatrini Calculator desktop'!$D$5="Infatrini peptisorb",VLOOKUP('Infatrini Calculator desktop'!$N15,'Infatrini peptisorb'!$A:$C,2,FALSE)))))</f>
        <v>1.5</v>
      </c>
      <c r="P15" s="204">
        <f t="shared" si="0"/>
        <v>0.30060120240480964</v>
      </c>
      <c r="Q15" s="82" t="str">
        <f>VLOOKUP($D$24&amp;N15,'nutr demand all ages'!C:E,3,FALSE)</f>
        <v>µg</v>
      </c>
      <c r="R15" s="83" t="str">
        <f>VLOOKUP($D$24&amp;N15,'nutr demand all ages'!$C:$I,7,FALSE)</f>
        <v>AI/AH</v>
      </c>
      <c r="S15" s="84">
        <f>IF(W15="abs",VLOOKUP($D$24&amp;N15,'nutr demand all ages'!$C:$G,5,FALSE),VLOOKUP($D$24&amp;N15,'nutr demand all ages'!$C:$G,5,FALSE)*'Infatrini Calculator desktop'!$H$25)</f>
        <v>0.5</v>
      </c>
      <c r="T15" s="82" t="str">
        <f>IF(W15="abs",VLOOKUP($D$24&amp;N15,'nutr demand all ages'!$C:$E,3,FALSE),LEFT(VLOOKUP($D$24&amp;N15,'nutr demand all ages'!$C:$E,3,FALSE),4))</f>
        <v>µg</v>
      </c>
      <c r="U15" s="85">
        <f t="shared" si="2"/>
        <v>0.60120240480961928</v>
      </c>
      <c r="W15" s="16" t="str">
        <f>VLOOKUP($D$24&amp;N15,'nutr demand all ages'!C:F,4,FALSE)</f>
        <v>abs</v>
      </c>
    </row>
    <row r="16" spans="1:23" ht="15.75" customHeight="1" x14ac:dyDescent="0.25">
      <c r="D16" s="271" t="s">
        <v>16</v>
      </c>
      <c r="E16" s="272"/>
      <c r="F16" s="272"/>
      <c r="G16" s="272"/>
      <c r="H16" s="272"/>
      <c r="I16" s="272"/>
      <c r="J16" s="272"/>
      <c r="K16" s="272"/>
      <c r="L16" s="273"/>
      <c r="M16" s="262"/>
      <c r="N16" s="76" t="s">
        <v>17</v>
      </c>
      <c r="O16" s="200">
        <f>IF($D$5="Infatrini in poedervorm",VLOOKUP($N16,'Infatrini poeder'!$A:$C,2,FALSE),IF('Infatrini Calculator desktop'!$D$5="Infatrini 125ml",VLOOKUP('Infatrini Calculator desktop'!$N16,'Infatrini liquid'!$A:$C,2,FALSE),IF('Infatrini Calculator desktop'!$D$5="Infatrini 200ml",VLOOKUP('Infatrini Calculator desktop'!$N16,'Infatrini liquid'!$A:$C,2,FALSE),IF('Infatrini Calculator desktop'!$D$5="Infatrini peptisorb",VLOOKUP('Infatrini Calculator desktop'!$N16,'Infatrini peptisorb'!$A:$C,2,FALSE)))))</f>
        <v>9.34</v>
      </c>
      <c r="P16" s="205">
        <f t="shared" si="0"/>
        <v>1.871743486973948</v>
      </c>
      <c r="Q16" s="77" t="str">
        <f>VLOOKUP($D$24&amp;N16,'nutr demand all ages'!C:E,3,FALSE)</f>
        <v>mg</v>
      </c>
      <c r="R16" s="78" t="str">
        <f>VLOOKUP($D$24&amp;N16,'nutr demand all ages'!$C:$I,7,FALSE)</f>
        <v>AI/AH</v>
      </c>
      <c r="S16" s="195">
        <f>IF(W16="abs",VLOOKUP($D$24&amp;N16,'nutr demand all ages'!$C:$G,5,FALSE),VLOOKUP($D$24&amp;N16,'nutr demand all ages'!$C:$G,5,FALSE)*'Infatrini Calculator desktop'!$H$25)</f>
        <v>2</v>
      </c>
      <c r="T16" s="77" t="str">
        <f>IF(W16="abs",VLOOKUP($D$24&amp;N16,'nutr demand all ages'!$C:$E,3,FALSE),LEFT(VLOOKUP($D$24&amp;N16,'nutr demand all ages'!$C:$E,3,FALSE),4))</f>
        <v>mg</v>
      </c>
      <c r="U16" s="80">
        <f t="shared" si="2"/>
        <v>0.93587174348697399</v>
      </c>
      <c r="W16" s="16" t="str">
        <f>VLOOKUP($D$24&amp;N16,'nutr demand all ages'!C:F,4,FALSE)</f>
        <v>abs</v>
      </c>
    </row>
    <row r="17" spans="1:114" ht="15.75" customHeight="1" x14ac:dyDescent="0.3">
      <c r="D17" s="274"/>
      <c r="E17" s="274"/>
      <c r="F17" s="86"/>
      <c r="G17" s="11">
        <v>100</v>
      </c>
      <c r="H17" s="75"/>
      <c r="I17" s="241" t="s">
        <v>18</v>
      </c>
      <c r="J17" s="241"/>
      <c r="K17" s="242">
        <f>G17*4.194</f>
        <v>419.4</v>
      </c>
      <c r="L17" s="242"/>
      <c r="M17" s="262"/>
      <c r="N17" s="81" t="s">
        <v>19</v>
      </c>
      <c r="O17" s="155">
        <f>IF($D$5="Infatrini in poedervorm",VLOOKUP($N17,'Infatrini poeder'!$A:$C,2,FALSE),IF('Infatrini Calculator desktop'!$D$5="Infatrini 125ml",VLOOKUP('Infatrini Calculator desktop'!$N17,'Infatrini liquid'!$A:$C,2,FALSE),IF('Infatrini Calculator desktop'!$D$5="Infatrini 200ml",VLOOKUP('Infatrini Calculator desktop'!$N17,'Infatrini liquid'!$A:$C,2,FALSE),IF('Infatrini Calculator desktop'!$D$5="Infatrini peptisorb",VLOOKUP('Infatrini Calculator desktop'!$N17,'Infatrini peptisorb'!$A:$C,2,FALSE)))))</f>
        <v>79.8</v>
      </c>
      <c r="P17" s="204">
        <f t="shared" si="0"/>
        <v>15.991983967935871</v>
      </c>
      <c r="Q17" s="82" t="str">
        <f>VLOOKUP($D$24&amp;N17,'nutr demand all ages'!C:E,3,FALSE)</f>
        <v>µg</v>
      </c>
      <c r="R17" s="83" t="str">
        <f>VLOOKUP($D$24&amp;N17,'nutr demand all ages'!$C:$I,7,FALSE)</f>
        <v>AI/AH</v>
      </c>
      <c r="S17" s="84">
        <f>IF(W17="abs",VLOOKUP($D$24&amp;N17,'nutr demand all ages'!$C:$G,5,FALSE),VLOOKUP($D$24&amp;N17,'nutr demand all ages'!$C:$G,5,FALSE)*'Infatrini Calculator desktop'!$H$25)</f>
        <v>50</v>
      </c>
      <c r="T17" s="82" t="str">
        <f>IF(W17="abs",VLOOKUP($D$24&amp;N17,'nutr demand all ages'!$C:$E,3,FALSE),LEFT(VLOOKUP($D$24&amp;N17,'nutr demand all ages'!$C:$E,3,FALSE),4))</f>
        <v>µg</v>
      </c>
      <c r="U17" s="85">
        <f t="shared" si="2"/>
        <v>0.31983967935871743</v>
      </c>
      <c r="W17" s="16" t="str">
        <f>VLOOKUP($D$24&amp;N17,'nutr demand all ages'!C:F,4,FALSE)</f>
        <v>abs</v>
      </c>
      <c r="DJ17" s="67"/>
    </row>
    <row r="18" spans="1:114" ht="15.75" customHeight="1" x14ac:dyDescent="0.25">
      <c r="D18" s="218" t="str">
        <f>IF(D5="Infatrini in poedervorm","Kies hier de oplossing-&gt;","")</f>
        <v>Kies hier de oplossing-&gt;</v>
      </c>
      <c r="E18" s="219"/>
      <c r="F18" s="87"/>
      <c r="G18" s="110">
        <f>$S$3</f>
        <v>20.040080160320642</v>
      </c>
      <c r="H18" s="12"/>
      <c r="I18" s="12" t="str">
        <f>IF(D5="Infatrini in poedervorm","gram poeder","ml")</f>
        <v>gram poeder</v>
      </c>
      <c r="J18" s="13"/>
      <c r="K18" s="14"/>
      <c r="L18" s="14"/>
      <c r="M18" s="262"/>
      <c r="N18" s="76" t="s">
        <v>20</v>
      </c>
      <c r="O18" s="200">
        <f>IF($D$5="Infatrini in poedervorm",VLOOKUP($N18,'Infatrini poeder'!$A:$C,2,FALSE),IF('Infatrini Calculator desktop'!$D$5="Infatrini 125ml",VLOOKUP('Infatrini Calculator desktop'!$N18,'Infatrini liquid'!$A:$C,2,FALSE),IF('Infatrini Calculator desktop'!$D$5="Infatrini 200ml",VLOOKUP('Infatrini Calculator desktop'!$N18,'Infatrini liquid'!$A:$C,2,FALSE),IF('Infatrini Calculator desktop'!$D$5="Infatrini peptisorb",VLOOKUP('Infatrini Calculator desktop'!$N18,'Infatrini peptisorb'!$A:$C,2,FALSE)))))</f>
        <v>3.97</v>
      </c>
      <c r="P18" s="205">
        <f t="shared" si="0"/>
        <v>0.79559118236472948</v>
      </c>
      <c r="Q18" s="77" t="str">
        <f>VLOOKUP($D$24&amp;N18,'nutr demand all ages'!C:E,3,FALSE)</f>
        <v>mg</v>
      </c>
      <c r="R18" s="78" t="str">
        <f>VLOOKUP($D$24&amp;N18,'nutr demand all ages'!$C:$I,7,FALSE)</f>
        <v>AI</v>
      </c>
      <c r="S18" s="195">
        <f>IF(W18="abs",VLOOKUP($D$24&amp;N18,'nutr demand all ages'!$C:$G,5,FALSE),VLOOKUP($D$24&amp;N18,'nutr demand all ages'!$C:$G,5,FALSE)*'Infatrini Calculator desktop'!$H$25)</f>
        <v>2</v>
      </c>
      <c r="T18" s="77" t="str">
        <f>IF(W18="abs",VLOOKUP($D$24&amp;N18,'nutr demand all ages'!$C:$E,3,FALSE),LEFT(VLOOKUP($D$24&amp;N18,'nutr demand all ages'!$C:$E,3,FALSE),4))</f>
        <v>mg</v>
      </c>
      <c r="U18" s="80">
        <f t="shared" si="2"/>
        <v>0.39779559118236474</v>
      </c>
      <c r="W18" s="16" t="str">
        <f>VLOOKUP($D$24&amp;N18,'nutr demand all ages'!C:F,4,FALSE)</f>
        <v>abs</v>
      </c>
    </row>
    <row r="19" spans="1:114" ht="52.5" customHeight="1" x14ac:dyDescent="0.25">
      <c r="D19" s="219"/>
      <c r="E19" s="219"/>
      <c r="F19" s="124" t="s">
        <v>21</v>
      </c>
      <c r="G19" s="165">
        <f>IFERROR(G17/VLOOKUP(F19,'Infatrini poeder oplossingen'!B:C,2,FALSE),"")</f>
        <v>100</v>
      </c>
      <c r="H19" s="12"/>
      <c r="I19" s="12" t="str">
        <f>IF(D5="Infatrini in poedervorm","ml bereide voeding","")</f>
        <v>ml bereide voeding</v>
      </c>
      <c r="J19" s="13"/>
      <c r="K19" s="14"/>
      <c r="L19" s="14"/>
      <c r="M19" s="262"/>
      <c r="N19" s="164" t="s">
        <v>22</v>
      </c>
      <c r="O19" s="207">
        <f>IF($D$5="Infatrini in poedervorm",VLOOKUP($N19,'Infatrini poeder'!$A:$C,2,FALSE),IF('Infatrini Calculator desktop'!$D$5="Infatrini 125ml",VLOOKUP('Infatrini Calculator desktop'!$N19,'Infatrini liquid'!$A:$C,2,FALSE),IF('Infatrini Calculator desktop'!$D$5="Infatrini 200ml",VLOOKUP('Infatrini Calculator desktop'!$N19,'Infatrini liquid'!$A:$C,2,FALSE),IF('Infatrini Calculator desktop'!$D$5="Infatrini peptisorb",VLOOKUP('Infatrini Calculator desktop'!$N19,'Infatrini peptisorb'!$A:$C,2,FALSE)))))</f>
        <v>19</v>
      </c>
      <c r="P19" s="208">
        <f t="shared" si="0"/>
        <v>3.8076152304609217</v>
      </c>
      <c r="Q19" s="82" t="str">
        <f>VLOOKUP($D$24&amp;N19,'nutr demand all ages'!C:E,3,FALSE)</f>
        <v>µg</v>
      </c>
      <c r="R19" s="83" t="str">
        <f>VLOOKUP($D$24&amp;N19,'nutr demand all ages'!$C:$I,7,FALSE)</f>
        <v>AI</v>
      </c>
      <c r="S19" s="84">
        <f>IF(W19="abs",VLOOKUP($D$24&amp;N19,'nutr demand all ages'!$C:$G,5,FALSE),VLOOKUP($D$24&amp;N19,'nutr demand all ages'!$C:$G,5,FALSE)*'Infatrini Calculator desktop'!$H$25)</f>
        <v>5</v>
      </c>
      <c r="T19" s="82" t="str">
        <f>IF(W19="abs",VLOOKUP($D$24&amp;N19,'nutr demand all ages'!$C:$E,3,FALSE),LEFT(VLOOKUP($D$24&amp;N19,'nutr demand all ages'!$C:$E,3,FALSE),4))</f>
        <v>µg</v>
      </c>
      <c r="U19" s="85">
        <f t="shared" si="2"/>
        <v>0.76152304609218435</v>
      </c>
      <c r="W19" s="16" t="str">
        <f>VLOOKUP($D$24&amp;N19,'nutr demand all ages'!C:F,4,FALSE)</f>
        <v>abs</v>
      </c>
    </row>
    <row r="20" spans="1:114" ht="15.75" customHeight="1" x14ac:dyDescent="0.25">
      <c r="D20" s="15"/>
      <c r="E20" s="15"/>
      <c r="F20" s="15"/>
      <c r="G20" s="15"/>
      <c r="H20" s="15"/>
      <c r="I20" s="15"/>
      <c r="J20" s="15"/>
      <c r="K20" s="15"/>
      <c r="L20" s="15"/>
      <c r="M20" s="262"/>
      <c r="N20" s="76" t="s">
        <v>23</v>
      </c>
      <c r="O20" s="154">
        <f>IF($D$5="Infatrini in poedervorm",VLOOKUP($N20,'Infatrini poeder'!$A:$C,2,FALSE),IF('Infatrini Calculator desktop'!$D$5="Infatrini 125ml",VLOOKUP('Infatrini Calculator desktop'!$N20,'Infatrini liquid'!$A:$C,2,FALSE),IF('Infatrini Calculator desktop'!$D$5="Infatrini 200ml",VLOOKUP('Infatrini Calculator desktop'!$N20,'Infatrini liquid'!$A:$C,2,FALSE),IF('Infatrini Calculator desktop'!$D$5="Infatrini peptisorb",VLOOKUP('Infatrini Calculator desktop'!$N20,'Infatrini peptisorb'!$A:$C,2,FALSE)))))</f>
        <v>69.2</v>
      </c>
      <c r="P20" s="203">
        <f t="shared" si="0"/>
        <v>13.867735470941884</v>
      </c>
      <c r="Q20" s="77" t="str">
        <f>VLOOKUP($D$24&amp;N20,'nutr demand all ages'!C:E,3,FALSE)</f>
        <v>mg</v>
      </c>
      <c r="R20" s="78" t="str">
        <f>VLOOKUP($D$24&amp;N20,'nutr demand all ages'!$C:$I,7,FALSE)</f>
        <v>AH</v>
      </c>
      <c r="S20" s="79">
        <f>IF(W20="abs",VLOOKUP($D$24&amp;N20,'nutr demand all ages'!$C:$G,5,FALSE),VLOOKUP($D$24&amp;N20,'nutr demand all ages'!$C:$G,5,FALSE)*'Infatrini Calculator desktop'!$H$25)</f>
        <v>0</v>
      </c>
      <c r="T20" s="77" t="str">
        <f>IF(W20="abs",VLOOKUP($D$24&amp;N20,'nutr demand all ages'!$C:$E,3,FALSE),LEFT(VLOOKUP($D$24&amp;N20,'nutr demand all ages'!$C:$E,3,FALSE),4))</f>
        <v>mg</v>
      </c>
      <c r="U20" s="80" t="str">
        <f t="shared" si="2"/>
        <v/>
      </c>
      <c r="W20" s="16" t="str">
        <f>VLOOKUP($D$24&amp;N20,'nutr demand all ages'!C:F,4,FALSE)</f>
        <v>abs</v>
      </c>
    </row>
    <row r="21" spans="1:114" ht="15.75" customHeight="1" x14ac:dyDescent="0.25">
      <c r="A21" s="9" t="str">
        <f>IF($D$5="Neocate Junior","0,69 kcal/ml",IF(OR(D5="Neocate LCP",D5="Neocate Spoon",D5="Neocate Syneo"),"1 kcal/ml",""))</f>
        <v/>
      </c>
      <c r="D21" s="220" t="s">
        <v>24</v>
      </c>
      <c r="E21" s="221"/>
      <c r="F21" s="221"/>
      <c r="G21" s="221"/>
      <c r="H21" s="221"/>
      <c r="I21" s="221"/>
      <c r="J21" s="221"/>
      <c r="K21" s="221"/>
      <c r="L21" s="222"/>
      <c r="M21" s="262"/>
      <c r="N21" s="184" t="s">
        <v>25</v>
      </c>
      <c r="O21" s="211">
        <f>IF($D$5="Infatrini in poedervorm",VLOOKUP($N21,'Infatrini poeder'!$A:$C,2,FALSE),IF('Infatrini Calculator desktop'!$D$5="Infatrini 125ml",VLOOKUP('Infatrini Calculator desktop'!$N21,'Infatrini liquid'!$A:$C,2,FALSE),IF('Infatrini Calculator desktop'!$D$5="Infatrini 200ml",VLOOKUP('Infatrini Calculator desktop'!$N21,'Infatrini liquid'!$A:$C,2,FALSE),IF('Infatrini Calculator desktop'!$D$5="Infatrini peptisorb",VLOOKUP('Infatrini Calculator desktop'!$N21,'Infatrini peptisorb'!$A:$C,2,FALSE)))))</f>
        <v>156</v>
      </c>
      <c r="P21" s="206">
        <f>IF(O21=0,"",$G$28*O21/$F$28)</f>
        <v>31.262525050100201</v>
      </c>
      <c r="Q21" s="82" t="s">
        <v>26</v>
      </c>
      <c r="R21" s="83"/>
      <c r="S21" s="84"/>
      <c r="T21" s="82"/>
      <c r="U21" s="85" t="str">
        <f t="shared" si="2"/>
        <v/>
      </c>
      <c r="W21" s="16" t="e">
        <f>VLOOKUP($D$24&amp;N21,'nutr demand all ages'!C:F,4,FALSE)</f>
        <v>#N/A</v>
      </c>
    </row>
    <row r="22" spans="1:114" ht="15.75" customHeight="1" x14ac:dyDescent="0.25">
      <c r="A22" s="9" t="str">
        <f>IF($D$5="Neocate Junior","1,0 kcal/ml","")</f>
        <v/>
      </c>
      <c r="D22" s="223"/>
      <c r="E22" s="224"/>
      <c r="F22" s="224"/>
      <c r="G22" s="224"/>
      <c r="H22" s="224"/>
      <c r="I22" s="224"/>
      <c r="J22" s="224"/>
      <c r="K22" s="224"/>
      <c r="L22" s="225"/>
      <c r="M22" s="262"/>
      <c r="N22" s="185" t="s">
        <v>27</v>
      </c>
      <c r="O22" s="209">
        <f>IF($D$5="Infatrini in poedervorm",VLOOKUP($N22,'Infatrini poeder'!$A:$C,2,FALSE),IF('Infatrini Calculator desktop'!$D$5="Infatrini 125ml",VLOOKUP('Infatrini Calculator desktop'!$N22,'Infatrini liquid'!$A:$C,2,FALSE),IF('Infatrini Calculator desktop'!$D$5="Infatrini 200ml",VLOOKUP('Infatrini Calculator desktop'!$N22,'Infatrini liquid'!$A:$C,2,FALSE),IF('Infatrini Calculator desktop'!$D$5="Infatrini peptisorb",VLOOKUP('Infatrini Calculator desktop'!$N22,'Infatrini peptisorb'!$A:$C,2,FALSE)))))</f>
        <v>124</v>
      </c>
      <c r="P22" s="210">
        <f t="shared" si="0"/>
        <v>24.849699398797597</v>
      </c>
      <c r="Q22" s="88" t="s">
        <v>26</v>
      </c>
      <c r="R22" s="89"/>
      <c r="S22" s="161"/>
      <c r="T22" s="88"/>
      <c r="U22" s="162" t="str">
        <f t="shared" si="2"/>
        <v/>
      </c>
      <c r="W22" s="16" t="e">
        <f>VLOOKUP($D$24&amp;N22,'nutr demand all ages'!C:F,4,FALSE)</f>
        <v>#N/A</v>
      </c>
    </row>
    <row r="23" spans="1:114" ht="17.25" customHeight="1" x14ac:dyDescent="0.25">
      <c r="A23" s="9" t="str">
        <f>IF($D$5="Neocate Junior","1,26 kcal/ml","")</f>
        <v/>
      </c>
      <c r="D23" s="226"/>
      <c r="E23" s="227"/>
      <c r="F23" s="227"/>
      <c r="G23" s="227"/>
      <c r="H23" s="227"/>
      <c r="I23" s="227"/>
      <c r="J23" s="227"/>
      <c r="K23" s="227"/>
      <c r="L23" s="228"/>
      <c r="M23" s="262"/>
      <c r="O23" s="67"/>
      <c r="R23" s="16"/>
    </row>
    <row r="24" spans="1:114" ht="15.75" customHeight="1" x14ac:dyDescent="0.25">
      <c r="D24" s="243" t="s">
        <v>28</v>
      </c>
      <c r="E24" s="243"/>
      <c r="F24" s="243"/>
      <c r="G24" s="243"/>
      <c r="H24" s="243"/>
      <c r="I24" s="243"/>
      <c r="J24" s="243"/>
      <c r="K24" s="243"/>
      <c r="L24" s="243"/>
      <c r="M24" s="262"/>
    </row>
    <row r="25" spans="1:114" ht="15.75" customHeight="1" x14ac:dyDescent="0.25">
      <c r="A25" s="16"/>
      <c r="B25" s="16"/>
      <c r="C25" s="16"/>
      <c r="D25" s="90"/>
      <c r="E25" s="90"/>
      <c r="F25" s="234" t="s">
        <v>29</v>
      </c>
      <c r="G25" s="234"/>
      <c r="H25" s="111">
        <v>6</v>
      </c>
      <c r="I25" s="91" t="s">
        <v>30</v>
      </c>
      <c r="J25" s="90"/>
      <c r="K25" s="90"/>
      <c r="L25" s="90"/>
      <c r="M25" s="262"/>
      <c r="N25" s="73" t="s">
        <v>31</v>
      </c>
      <c r="O25" s="10" t="str">
        <f>F27</f>
        <v>per 100 g</v>
      </c>
      <c r="P25" s="232" t="str">
        <f>G27</f>
        <v>Per 20 g</v>
      </c>
      <c r="Q25" s="233"/>
      <c r="R25" s="292" t="str">
        <f>D24&amp;"*"</f>
        <v>Meisje 0-5 maanden*</v>
      </c>
      <c r="S25" s="293"/>
      <c r="T25" s="294"/>
      <c r="U25" s="74" t="s">
        <v>6</v>
      </c>
    </row>
    <row r="26" spans="1:114" ht="15.75" customHeight="1" x14ac:dyDescent="0.25">
      <c r="A26" s="16"/>
      <c r="B26" s="16"/>
      <c r="C26" s="16"/>
      <c r="M26" s="262"/>
      <c r="N26" s="92" t="s">
        <v>32</v>
      </c>
      <c r="O26" s="212">
        <f>IF($D$5="Infatrini in poedervorm",VLOOKUP($N26,'Infatrini poeder'!$A:$C,2,FALSE),IF('Infatrini Calculator desktop'!$D$5="Infatrini 125ml",VLOOKUP('Infatrini Calculator desktop'!$N26,'Infatrini liquid'!$A:$C,2,FALSE),IF('Infatrini Calculator desktop'!$D$5="Infatrini 200ml",VLOOKUP('Infatrini Calculator desktop'!$N26,'Infatrini liquid'!$A:$C,2,FALSE),IF('Infatrini Calculator desktop'!$D$5="Infatrini peptisorb",VLOOKUP('Infatrini Calculator desktop'!$N26,'Infatrini peptisorb'!$A:$C,2,FALSE)))))</f>
        <v>497</v>
      </c>
      <c r="P26" s="212">
        <f t="shared" ref="P26:P39" si="3">$G$28*O26/$F$28</f>
        <v>99.599198396793582</v>
      </c>
      <c r="Q26" s="159" t="str">
        <f>VLOOKUP($D$24&amp;N26,'nutr demand all ages'!C:E,3,FALSE)</f>
        <v>mg**</v>
      </c>
      <c r="R26" s="78" t="str">
        <f>VLOOKUP($D$24&amp;N26,'nutr demand all ages'!$C:$I,7,FALSE)</f>
        <v>AI</v>
      </c>
      <c r="S26" s="79">
        <f>IF(W26="abs",VLOOKUP($D$24&amp;N26,'nutr demand all ages'!$C:$G,5,FALSE),VLOOKUP($D$24&amp;N26,'nutr demand all ages'!$C:$G,5,FALSE)*'Infatrini Calculator desktop'!$H$25)</f>
        <v>210</v>
      </c>
      <c r="T26" s="77" t="str">
        <f>IF(W26="abs",VLOOKUP($D$24&amp;N26,'nutr demand all ages'!$C:$E,3,FALSE),LEFT(VLOOKUP($D$24&amp;N26,'nutr demand all ages'!$C:$E,3,FALSE),4))</f>
        <v>mg**</v>
      </c>
      <c r="U26" s="156">
        <f>IFERROR(P26/S26,"")</f>
        <v>0.4742818971275885</v>
      </c>
      <c r="W26" s="16" t="str">
        <f>VLOOKUP($D$24&amp;N26,'nutr demand all ages'!C:F,4,FALSE)</f>
        <v>abs</v>
      </c>
    </row>
    <row r="27" spans="1:114" ht="15.75" customHeight="1" x14ac:dyDescent="0.25">
      <c r="A27" s="16"/>
      <c r="D27" s="232" t="s">
        <v>33</v>
      </c>
      <c r="E27" s="233"/>
      <c r="F27" s="10" t="str">
        <f>IF(D5="Infatrini in poedervorm","per 100 g","per 100 ml")</f>
        <v>per 100 g</v>
      </c>
      <c r="G27" s="232" t="str">
        <f>IF(D5="Infatrini in poedervorm","Per"&amp;" "&amp;ROUND(G18,0)&amp;" "&amp;"g","Per"&amp;" "&amp;ROUND(G18,0)&amp;" "&amp;"ml")</f>
        <v>Per 20 g</v>
      </c>
      <c r="H27" s="233"/>
      <c r="I27" s="230" t="str">
        <f>D24&amp;"*"</f>
        <v>Meisje 0-5 maanden*</v>
      </c>
      <c r="J27" s="230"/>
      <c r="K27" s="231"/>
      <c r="L27" s="10" t="s">
        <v>6</v>
      </c>
      <c r="M27" s="262"/>
      <c r="N27" s="94" t="s">
        <v>34</v>
      </c>
      <c r="O27" s="213">
        <f>IF($D$5="Infatrini in poedervorm",VLOOKUP($N27,'Infatrini poeder'!$A:$C,2,FALSE),IF('Infatrini Calculator desktop'!$D$5="Infatrini 125ml",VLOOKUP('Infatrini Calculator desktop'!$N27,'Infatrini liquid'!$A:$C,2,FALSE),IF('Infatrini Calculator desktop'!$D$5="Infatrini 200ml",VLOOKUP('Infatrini Calculator desktop'!$N27,'Infatrini liquid'!$A:$C,2,FALSE),IF('Infatrini Calculator desktop'!$D$5="Infatrini peptisorb",VLOOKUP('Infatrini Calculator desktop'!$N27,'Infatrini peptisorb'!$A:$C,2,FALSE)))))</f>
        <v>268</v>
      </c>
      <c r="P27" s="213">
        <f t="shared" si="3"/>
        <v>53.707414829659321</v>
      </c>
      <c r="Q27" s="82" t="str">
        <f>VLOOKUP($D$24&amp;N27,'nutr demand all ages'!C:E,3,FALSE)</f>
        <v>mg**</v>
      </c>
      <c r="R27" s="83" t="str">
        <f>VLOOKUP($D$24&amp;N27,'nutr demand all ages'!$C:$I,7,FALSE)</f>
        <v>AH</v>
      </c>
      <c r="S27" s="84">
        <f>IF(W27="abs",VLOOKUP($D$24&amp;N27,'nutr demand all ages'!$C:$G,5,FALSE),VLOOKUP($D$24&amp;N27,'nutr demand all ages'!$C:$G,5,FALSE)*'Infatrini Calculator desktop'!$H$25)</f>
        <v>0</v>
      </c>
      <c r="T27" s="82" t="str">
        <f>IF(W27="abs",VLOOKUP($D$24&amp;N27,'nutr demand all ages'!$C:$E,3,FALSE),LEFT(VLOOKUP($D$24&amp;N27,'nutr demand all ages'!$C:$E,3,FALSE),4))</f>
        <v>mg**</v>
      </c>
      <c r="U27" s="100" t="str">
        <f>IFERROR(P27/S27,"")</f>
        <v/>
      </c>
      <c r="W27" s="16" t="str">
        <f>VLOOKUP($D$24&amp;N27,'nutr demand all ages'!C:F,4,FALSE)</f>
        <v>abs</v>
      </c>
    </row>
    <row r="28" spans="1:114" ht="15.75" customHeight="1" x14ac:dyDescent="0.25">
      <c r="A28" s="16" t="str">
        <f>VLOOKUP($D$24&amp;D28,'nutr demand all ages'!C:F,4,FALSE)</f>
        <v>rel</v>
      </c>
      <c r="D28" s="96" t="s">
        <v>35</v>
      </c>
      <c r="E28" s="97"/>
      <c r="F28" s="187">
        <f>IF($D$5="Infatrini in poedervorm",VLOOKUP($D28,'Infatrini poeder'!$A:$C,2,FALSE),IF('Infatrini Calculator desktop'!$D$5="Infatrini 125ml",VLOOKUP('Infatrini Calculator desktop'!$D28,'Infatrini liquid'!$A:$C,2,FALSE),IF('Infatrini Calculator desktop'!$D$5="Infatrini 200ml",VLOOKUP('Infatrini Calculator desktop'!$D28,'Infatrini liquid'!$A:$C,2,FALSE),IF('Infatrini Calculator desktop'!$D$5="Infatrini peptisorb",VLOOKUP('Infatrini Calculator desktop'!$D28,'Infatrini peptisorb'!$A:$C,2,FALSE)))))</f>
        <v>499</v>
      </c>
      <c r="G28" s="188">
        <f>G17</f>
        <v>100</v>
      </c>
      <c r="H28" s="77" t="str">
        <f>IF($D$5="Infatrini in poedervorm",VLOOKUP($D28,'Infatrini poeder'!$A:$C,3,FALSE),IF('Infatrini Calculator desktop'!$D$5="Infatrini 125ml",VLOOKUP('Infatrini Calculator desktop'!$D28,'Infatrini liquid'!$A:$C,3,FALSE),IF('Infatrini Calculator desktop'!$D$5="Infatrini 200ml",VLOOKUP('Infatrini Calculator desktop'!$D28,'Infatrini liquid'!$A:$C,3,FALSE),IF('Infatrini Calculator desktop'!$D$5="Infatrini peptisorb",VLOOKUP('Infatrini Calculator desktop'!$D28,'Infatrini peptisorb'!$A:$C,3,FALSE)))))</f>
        <v>kcal</v>
      </c>
      <c r="I28" s="160" t="str">
        <f>VLOOKUP($D$24&amp;D28,'nutr demand all ages'!$C:$I,7,FALSE)</f>
        <v>GB</v>
      </c>
      <c r="J28" s="79">
        <f>IF(A28="abs",VLOOKUP($D$24&amp;D28,'nutr demand all ages'!$C:$G,5,FALSE),VLOOKUP($D$24&amp;D28,'nutr demand all ages'!$C:$G,5,FALSE)*'Infatrini Calculator desktop'!$H$25)</f>
        <v>558.90000000000009</v>
      </c>
      <c r="K28" s="77" t="str">
        <f>IF(A28="abs",VLOOKUP($D$24&amp;D28,'nutr demand all ages'!$C:$E,3,FALSE),LEFT(VLOOKUP($D$24&amp;D28,'nutr demand all ages'!$C:$E,3,FALSE),4))</f>
        <v>Kcal</v>
      </c>
      <c r="L28" s="80">
        <f t="shared" ref="L28:L38" si="4">IFERROR(G28/J28,"")</f>
        <v>0.17892288423689387</v>
      </c>
      <c r="M28" s="262"/>
      <c r="N28" s="92" t="s">
        <v>36</v>
      </c>
      <c r="O28" s="93">
        <f>IF($D$5="Infatrini in poedervorm",VLOOKUP($N28,'Infatrini poeder'!$A:$C,2,FALSE),IF('Infatrini Calculator desktop'!$D$5="Infatrini 125ml",VLOOKUP('Infatrini Calculator desktop'!$N28,'Infatrini liquid'!$A:$C,2,FALSE),IF('Infatrini Calculator desktop'!$D$5="Infatrini 200ml",VLOOKUP('Infatrini Calculator desktop'!$N28,'Infatrini liquid'!$A:$C,2,FALSE),IF('Infatrini Calculator desktop'!$D$5="Infatrini peptisorb",VLOOKUP('Infatrini Calculator desktop'!$N28,'Infatrini peptisorb'!$A:$C,2,FALSE)))))</f>
        <v>44.9</v>
      </c>
      <c r="P28" s="93">
        <f t="shared" si="3"/>
        <v>8.9979959919839683</v>
      </c>
      <c r="Q28" s="77" t="str">
        <f>VLOOKUP($D$24&amp;N28,'nutr demand all ages'!C:E,3,FALSE)</f>
        <v>mg**</v>
      </c>
      <c r="R28" s="78" t="str">
        <f>VLOOKUP($D$24&amp;N28,'nutr demand all ages'!$C:$I,7,FALSE)</f>
        <v>AH</v>
      </c>
      <c r="S28" s="79">
        <f>IF(W28="abs",VLOOKUP($D$24&amp;N28,'nutr demand all ages'!$C:$G,5,FALSE),VLOOKUP($D$24&amp;N28,'nutr demand all ages'!$C:$G,5,FALSE)*'Infatrini Calculator desktop'!$H$25)</f>
        <v>0</v>
      </c>
      <c r="T28" s="77" t="str">
        <f>IF(W28="abs",VLOOKUP($D$24&amp;N28,'nutr demand all ages'!$C:$E,3,FALSE),LEFT(VLOOKUP($D$24&amp;N28,'nutr demand all ages'!$C:$E,3,FALSE),4))</f>
        <v>mg**</v>
      </c>
      <c r="U28" s="157" t="str">
        <f t="shared" ref="U28:U39" si="5">IFERROR(P28/S28,"")</f>
        <v/>
      </c>
      <c r="W28" s="16" t="str">
        <f>VLOOKUP($D$24&amp;N28,'nutr demand all ages'!C:F,4,FALSE)</f>
        <v>abs</v>
      </c>
    </row>
    <row r="29" spans="1:114" ht="15.75" customHeight="1" x14ac:dyDescent="0.25">
      <c r="A29" s="16" t="str">
        <f>VLOOKUP($D$24&amp;D29,'nutr demand all ages'!C:F,4,FALSE)</f>
        <v>abs</v>
      </c>
      <c r="D29" s="98" t="s">
        <v>37</v>
      </c>
      <c r="E29" s="99"/>
      <c r="F29" s="189">
        <f>IF($D$5="Infatrini in poedervorm",VLOOKUP($D29,'Infatrini poeder'!$A:$C,2,FALSE),IF('Infatrini Calculator desktop'!$D$5="Infatrini 125ml",VLOOKUP('Infatrini Calculator desktop'!$D29,'Infatrini liquid'!$A:$C,2,FALSE),IF('Infatrini Calculator desktop'!$D$5="Infatrini 200ml",VLOOKUP('Infatrini Calculator desktop'!$D29,'Infatrini liquid'!$A:$C,2,FALSE),IF('Infatrini Calculator desktop'!$D$5="Infatrini peptisorb",VLOOKUP('Infatrini Calculator desktop'!$D29,'Infatrini peptisorb'!$A:$C,2,FALSE)))))</f>
        <v>13</v>
      </c>
      <c r="G29" s="189">
        <f t="shared" ref="G29:G37" si="6">IF(F29="","",$G$28*F29/$F$28)</f>
        <v>2.6052104208416833</v>
      </c>
      <c r="H29" s="82" t="str">
        <f>IF($D$5="Infatrini in poedervorm",VLOOKUP($D29,'Infatrini poeder'!$A:$C,3,FALSE),IF('Infatrini Calculator desktop'!$D$5="Infatrini 125ml",VLOOKUP('Infatrini Calculator desktop'!$D29,'Infatrini liquid'!$A:$C,3,FALSE),IF('Infatrini Calculator desktop'!$D$5="Infatrini 200ml",VLOOKUP('Infatrini Calculator desktop'!$D29,'Infatrini liquid'!$A:$C,3,FALSE),IF('Infatrini Calculator desktop'!$D$5="Infatrini peptisorb",VLOOKUP('Infatrini Calculator desktop'!$D29,'Infatrini peptisorb'!$A:$C,3,FALSE)))))</f>
        <v>g</v>
      </c>
      <c r="I29" s="66" t="str">
        <f>VLOOKUP($D$24&amp;D29,'nutr demand all ages'!$C:$I,7,FALSE)</f>
        <v>AH</v>
      </c>
      <c r="J29" s="84">
        <f>IF(A29="abs",VLOOKUP($D$24&amp;D29,'nutr demand all ages'!$C:$G,5,FALSE),VLOOKUP($D$24&amp;D29,'nutr demand all ages'!$C:$G,5,FALSE)*'Infatrini Calculator desktop'!$H$25)</f>
        <v>9</v>
      </c>
      <c r="K29" s="82" t="str">
        <f>IF(A29="abs",VLOOKUP($D$24&amp;D29,'nutr demand all ages'!$C:$E,3,FALSE),LEFT(VLOOKUP($D$24&amp;D29,'nutr demand all ages'!$C:$E,3,FALSE),4))</f>
        <v>gram</v>
      </c>
      <c r="L29" s="85">
        <f t="shared" si="4"/>
        <v>0.28946782453796482</v>
      </c>
      <c r="M29" s="262"/>
      <c r="N29" s="94" t="s">
        <v>38</v>
      </c>
      <c r="O29" s="196">
        <f>IF($D$5="Infatrini in poedervorm",VLOOKUP($N29,'Infatrini poeder'!$A:$C,2,FALSE),IF('Infatrini Calculator desktop'!$D$5="Infatrini 125ml",VLOOKUP('Infatrini Calculator desktop'!$N29,'Infatrini liquid'!$A:$C,2,FALSE),IF('Infatrini Calculator desktop'!$D$5="Infatrini 200ml",VLOOKUP('Infatrini Calculator desktop'!$N29,'Infatrini liquid'!$A:$C,2,FALSE),IF('Infatrini Calculator desktop'!$D$5="Infatrini peptisorb",VLOOKUP('Infatrini Calculator desktop'!$N29,'Infatrini peptisorb'!$A:$C,2,FALSE)))))</f>
        <v>5.97</v>
      </c>
      <c r="P29" s="196">
        <f t="shared" si="3"/>
        <v>1.1963927855711423</v>
      </c>
      <c r="Q29" s="82" t="str">
        <f>VLOOKUP($D$24&amp;N29,'nutr demand all ages'!C:E,3,FALSE)</f>
        <v>mg**</v>
      </c>
      <c r="R29" s="83" t="str">
        <f>VLOOKUP($D$24&amp;N29,'nutr demand all ages'!$C:$I,7,FALSE)</f>
        <v>AH</v>
      </c>
      <c r="S29" s="84">
        <f>IF(W29="abs",VLOOKUP($D$24&amp;N29,'nutr demand all ages'!$C:$G,5,FALSE),VLOOKUP($D$24&amp;N29,'nutr demand all ages'!$C:$G,5,FALSE)*'Infatrini Calculator desktop'!$H$25)</f>
        <v>0</v>
      </c>
      <c r="T29" s="82" t="str">
        <f>IF(W29="abs",VLOOKUP($D$24&amp;N29,'nutr demand all ages'!$C:$E,3,FALSE),LEFT(VLOOKUP($D$24&amp;N29,'nutr demand all ages'!$C:$E,3,FALSE),4))</f>
        <v>mg**</v>
      </c>
      <c r="U29" s="100" t="str">
        <f t="shared" si="5"/>
        <v/>
      </c>
      <c r="W29" s="16" t="str">
        <f>VLOOKUP($D$24&amp;N29,'nutr demand all ages'!C:F,4,FALSE)</f>
        <v>abs</v>
      </c>
    </row>
    <row r="30" spans="1:114" ht="15.75" customHeight="1" x14ac:dyDescent="0.25">
      <c r="A30" s="16">
        <f>VLOOKUP($D$24&amp;D30,'nutr demand all ages'!C:F,4,FALSE)</f>
        <v>0</v>
      </c>
      <c r="D30" s="101" t="s">
        <v>39</v>
      </c>
      <c r="E30" s="102"/>
      <c r="F30" s="93">
        <f>IF($D$5="Infatrini in poedervorm",VLOOKUP($D30,'Infatrini poeder'!$A:$C,2,FALSE),IF('Infatrini Calculator desktop'!$D$5="Infatrini 125ml",VLOOKUP('Infatrini Calculator desktop'!$D30,'Infatrini liquid'!$A:$C,2,FALSE),IF('Infatrini Calculator desktop'!$D$5="Infatrini 200ml",VLOOKUP('Infatrini Calculator desktop'!$D30,'Infatrini liquid'!$A:$C,2,FALSE),IF('Infatrini Calculator desktop'!$D$5="Infatrini peptisorb",VLOOKUP('Infatrini Calculator desktop'!$D30,'Infatrini peptisorb'!$A:$C,2,FALSE)))))</f>
        <v>26.9</v>
      </c>
      <c r="G30" s="103">
        <f t="shared" si="6"/>
        <v>5.3907815631262528</v>
      </c>
      <c r="H30" s="77" t="str">
        <f>IF($D$5="Infatrini in poedervorm",VLOOKUP($D30,'Infatrini poeder'!$A:$C,3,FALSE),IF('Infatrini Calculator desktop'!$D$5="Infatrini 125ml",VLOOKUP('Infatrini Calculator desktop'!$D30,'Infatrini liquid'!$A:$C,3,FALSE),IF('Infatrini Calculator desktop'!$D$5="Infatrini 200ml",VLOOKUP('Infatrini Calculator desktop'!$D30,'Infatrini liquid'!$A:$C,3,FALSE),IF('Infatrini Calculator desktop'!$D$5="Infatrini peptisorb",VLOOKUP('Infatrini Calculator desktop'!$D30,'Infatrini peptisorb'!$A:$C,3,FALSE)))))</f>
        <v>g</v>
      </c>
      <c r="I30" s="190">
        <f>VLOOKUP($D$24&amp;D30,'nutr demand all ages'!$C:$I,7,FALSE)</f>
        <v>0</v>
      </c>
      <c r="J30" s="79">
        <f>IF(A30="abs",VLOOKUP($D$24&amp;D30,'nutr demand all ages'!$C:$G,5,FALSE),VLOOKUP($D$24&amp;D30,'nutr demand all ages'!$C:$G,5,FALSE)*'Infatrini Calculator desktop'!$H$25)</f>
        <v>0</v>
      </c>
      <c r="K30" s="77" t="str">
        <f>IF(A30="abs",VLOOKUP($D$24&amp;D30,'nutr demand all ages'!$C:$E,3,FALSE),LEFT(VLOOKUP($D$24&amp;D30,'nutr demand all ages'!$C:$E,3,FALSE),4))</f>
        <v/>
      </c>
      <c r="L30" s="80" t="str">
        <f t="shared" si="4"/>
        <v/>
      </c>
      <c r="M30" s="17"/>
      <c r="N30" s="92" t="s">
        <v>40</v>
      </c>
      <c r="O30" s="192">
        <f>IF($D$5="Infatrini in poedervorm",VLOOKUP($N30,'Infatrini poeder'!$A:$C,2,FALSE),IF('Infatrini Calculator desktop'!$D$5="Infatrini 125ml",VLOOKUP('Infatrini Calculator desktop'!$N30,'Infatrini liquid'!$A:$C,2,FALSE),IF('Infatrini Calculator desktop'!$D$5="Infatrini 200ml",VLOOKUP('Infatrini Calculator desktop'!$N30,'Infatrini liquid'!$A:$C,2,FALSE),IF('Infatrini Calculator desktop'!$D$5="Infatrini peptisorb",VLOOKUP('Infatrini Calculator desktop'!$N30,'Infatrini peptisorb'!$A:$C,2,FALSE)))))</f>
        <v>3.98</v>
      </c>
      <c r="P30" s="192">
        <f t="shared" si="3"/>
        <v>0.79759519038076154</v>
      </c>
      <c r="Q30" s="77" t="str">
        <f>VLOOKUP($D$24&amp;N30,'nutr demand all ages'!C:E,3,FALSE)</f>
        <v>mg**</v>
      </c>
      <c r="R30" s="78" t="str">
        <f>VLOOKUP($D$24&amp;N30,'nutr demand all ages'!$C:$I,7,FALSE)</f>
        <v>AH</v>
      </c>
      <c r="S30" s="79">
        <f>IF(W30="abs",VLOOKUP($D$24&amp;N30,'nutr demand all ages'!$C:$G,5,FALSE),VLOOKUP($D$24&amp;N30,'nutr demand all ages'!$C:$G,5,FALSE)*'Infatrini Calculator desktop'!$H$25)</f>
        <v>0</v>
      </c>
      <c r="T30" s="77" t="str">
        <f>IF(W30="abs",VLOOKUP($D$24&amp;N30,'nutr demand all ages'!$C:$E,3,FALSE),LEFT(VLOOKUP($D$24&amp;N30,'nutr demand all ages'!$C:$E,3,FALSE),4))</f>
        <v>mg**</v>
      </c>
      <c r="U30" s="157" t="str">
        <f t="shared" si="5"/>
        <v/>
      </c>
      <c r="W30" s="16" t="str">
        <f>VLOOKUP($D$24&amp;N30,'nutr demand all ages'!C:F,4,FALSE)</f>
        <v>abs</v>
      </c>
    </row>
    <row r="31" spans="1:114" ht="15.75" customHeight="1" x14ac:dyDescent="0.25">
      <c r="A31" s="16">
        <f>VLOOKUP($D$24&amp;D31,'nutr demand all ages'!C:F,4,FALSE)</f>
        <v>0</v>
      </c>
      <c r="D31" s="170" t="s">
        <v>41</v>
      </c>
      <c r="E31" s="99"/>
      <c r="F31" s="171">
        <f>IF($D$5="Infatrini in poedervorm",VLOOKUP($D31,'Infatrini poeder'!$A:$C,2,FALSE),IF('Infatrini Calculator desktop'!$D$5="Infatrini 125ml",VLOOKUP('Infatrini Calculator desktop'!$D31,'Infatrini liquid'!$A:$C,2,FALSE),IF('Infatrini Calculator desktop'!$D$5="Infatrini 200ml",VLOOKUP('Infatrini Calculator desktop'!$D31,'Infatrini liquid'!$A:$C,2,FALSE),IF('Infatrini Calculator desktop'!$D$5="Infatrini peptisorb",VLOOKUP('Infatrini Calculator desktop'!$D31,'Infatrini peptisorb'!$A:$C,2,FALSE)))))</f>
        <v>4.66</v>
      </c>
      <c r="G31" s="171">
        <f t="shared" si="6"/>
        <v>0.93386773547094193</v>
      </c>
      <c r="H31" s="172" t="str">
        <f>IF($D$5="Infatrini in poedervorm",VLOOKUP($D31,'Infatrini poeder'!$A:$C,3,FALSE),IF('Infatrini Calculator desktop'!$D$5="Infatrini 125ml",VLOOKUP('Infatrini Calculator desktop'!$D31,'Infatrini liquid'!$A:$C,3,FALSE),IF('Infatrini Calculator desktop'!$D$5="Infatrini 200ml",VLOOKUP('Infatrini Calculator desktop'!$D31,'Infatrini liquid'!$A:$C,3,FALSE),IF('Infatrini Calculator desktop'!$D$5="Infatrini peptisorb",VLOOKUP('Infatrini Calculator desktop'!$D31,'Infatrini peptisorb'!$A:$C,3,FALSE)))))</f>
        <v>g</v>
      </c>
      <c r="I31" s="191">
        <f>VLOOKUP($D$24&amp;D31,'nutr demand all ages'!$C:$I,7,FALSE)</f>
        <v>0</v>
      </c>
      <c r="J31" s="173">
        <f>IF(A31="abs",VLOOKUP($D$24&amp;D31,'nutr demand all ages'!$C:$G,5,FALSE),VLOOKUP($D$24&amp;D31,'nutr demand all ages'!$C:$G,5,FALSE)*'Infatrini Calculator desktop'!$H$25)</f>
        <v>0</v>
      </c>
      <c r="K31" s="172" t="str">
        <f>IF(A31="abs",VLOOKUP($D$24&amp;D31,'nutr demand all ages'!$C:$E,3,FALSE),LEFT(VLOOKUP($D$24&amp;D31,'nutr demand all ages'!$C:$E,3,FALSE),4))</f>
        <v/>
      </c>
      <c r="L31" s="174" t="str">
        <f t="shared" si="4"/>
        <v/>
      </c>
      <c r="M31" s="17"/>
      <c r="N31" s="94" t="s">
        <v>42</v>
      </c>
      <c r="O31" s="189">
        <f>IF($D$5="Infatrini in poedervorm",VLOOKUP($N31,'Infatrini poeder'!$A:$C,2,FALSE),IF('Infatrini Calculator desktop'!$D$5="Infatrini 125ml",VLOOKUP('Infatrini Calculator desktop'!$N31,'Infatrini liquid'!$A:$C,2,FALSE),IF('Infatrini Calculator desktop'!$D$5="Infatrini 200ml",VLOOKUP('Infatrini Calculator desktop'!$N31,'Infatrini liquid'!$A:$C,2,FALSE),IF('Infatrini Calculator desktop'!$D$5="Infatrini peptisorb",VLOOKUP('Infatrini Calculator desktop'!$N31,'Infatrini peptisorb'!$A:$C,2,FALSE)))))</f>
        <v>0.05</v>
      </c>
      <c r="P31" s="189">
        <f t="shared" si="3"/>
        <v>1.002004008016032E-2</v>
      </c>
      <c r="Q31" s="82" t="str">
        <f>VLOOKUP($D$24&amp;N31,'nutr demand all ages'!C:E,3,FALSE)</f>
        <v>mg**</v>
      </c>
      <c r="R31" s="83" t="str">
        <f>VLOOKUP($D$24&amp;N31,'nutr demand all ages'!$C:$I,7,FALSE)</f>
        <v>AI</v>
      </c>
      <c r="S31" s="84">
        <f>IF(W31="abs",VLOOKUP($D$24&amp;N31,'nutr demand all ages'!$C:$G,5,FALSE),VLOOKUP($D$24&amp;N31,'nutr demand all ages'!$C:$G,5,FALSE)*'Infatrini Calculator desktop'!$H$25)</f>
        <v>0</v>
      </c>
      <c r="T31" s="82" t="str">
        <f>IF(W31="abs",VLOOKUP($D$24&amp;N31,'nutr demand all ages'!$C:$E,3,FALSE),LEFT(VLOOKUP($D$24&amp;N31,'nutr demand all ages'!$C:$E,3,FALSE),4))</f>
        <v>mg**</v>
      </c>
      <c r="U31" s="100" t="str">
        <f t="shared" si="5"/>
        <v/>
      </c>
      <c r="V31" s="215" t="s">
        <v>43</v>
      </c>
      <c r="W31" s="16" t="str">
        <f>VLOOKUP($D$24&amp;N31,'nutr demand all ages'!C:F,4,FALSE)</f>
        <v>abs</v>
      </c>
    </row>
    <row r="32" spans="1:114" ht="15.75" customHeight="1" x14ac:dyDescent="0.25">
      <c r="A32" s="16" t="str">
        <f>VLOOKUP($D$24&amp;D32,'nutr demand all ages'!C:F,4,FALSE)</f>
        <v>rel</v>
      </c>
      <c r="D32" s="101" t="s">
        <v>44</v>
      </c>
      <c r="E32" s="102"/>
      <c r="F32" s="192">
        <f>IF($D$5="Infatrini in poedervorm",VLOOKUP($D32,'Infatrini poeder'!$A:$C,2,FALSE),IF('Infatrini Calculator desktop'!$D$5="Infatrini 125ml",VLOOKUP('Infatrini Calculator desktop'!$D32,'Infatrini liquid'!$A:$C,2,FALSE),IF('Infatrini Calculator desktop'!$D$5="Infatrini 200ml",VLOOKUP('Infatrini Calculator desktop'!$D32,'Infatrini liquid'!$A:$C,2,FALSE),IF('Infatrini Calculator desktop'!$D$5="Infatrini peptisorb",VLOOKUP('Infatrini Calculator desktop'!$D32,'Infatrini peptisorb'!$A:$C,2,FALSE)))))</f>
        <v>3.41</v>
      </c>
      <c r="G32" s="194">
        <f t="shared" si="6"/>
        <v>0.68336673346693388</v>
      </c>
      <c r="H32" s="77" t="str">
        <f>IF($D$5="Infatrini in poedervorm",VLOOKUP($D32,'Infatrini poeder'!$A:$C,3,FALSE),IF('Infatrini Calculator desktop'!$D$5="Infatrini 125ml",VLOOKUP('Infatrini Calculator desktop'!$D32,'Infatrini liquid'!$A:$C,3,FALSE),IF('Infatrini Calculator desktop'!$D$5="Infatrini 200ml",VLOOKUP('Infatrini Calculator desktop'!$D32,'Infatrini liquid'!$A:$C,3,FALSE),IF('Infatrini Calculator desktop'!$D$5="Infatrini peptisorb",VLOOKUP('Infatrini Calculator desktop'!$D32,'Infatrini peptisorb'!$A:$C,3,FALSE)))))</f>
        <v>g</v>
      </c>
      <c r="I32" s="160" t="str">
        <f>VLOOKUP($D$24&amp;D32,'nutr demand all ages'!$C:$I,7,FALSE)</f>
        <v>AI</v>
      </c>
      <c r="J32" s="195">
        <f>IF(A32="abs",VLOOKUP($D$24&amp;D32,'nutr demand all ages'!$C:$G,5,FALSE),VLOOKUP($D$24&amp;D32,'nutr demand all ages'!$C:$G,5,FALSE)*'Infatrini Calculator desktop'!$H$25)</f>
        <v>3.5999999999999996</v>
      </c>
      <c r="K32" s="77" t="str">
        <f>IF(A32="abs",VLOOKUP($D$24&amp;D32,'nutr demand all ages'!$C:$E,3,FALSE),LEFT(VLOOKUP($D$24&amp;D32,'nutr demand all ages'!$C:$E,3,FALSE),4))</f>
        <v>gram</v>
      </c>
      <c r="L32" s="80">
        <f t="shared" si="4"/>
        <v>0.18982409262970387</v>
      </c>
      <c r="M32" s="17"/>
      <c r="N32" s="92" t="s">
        <v>45</v>
      </c>
      <c r="O32" s="192">
        <f>IF($D$5="Infatrini in poedervorm",VLOOKUP($N32,'Infatrini poeder'!$A:$C,2,FALSE),IF('Infatrini Calculator desktop'!$D$5="Infatrini 125ml",VLOOKUP('Infatrini Calculator desktop'!$N32,'Infatrini liquid'!$A:$C,2,FALSE),IF('Infatrini Calculator desktop'!$D$5="Infatrini 200ml",VLOOKUP('Infatrini Calculator desktop'!$N32,'Infatrini liquid'!$A:$C,2,FALSE),IF('Infatrini Calculator desktop'!$D$5="Infatrini peptisorb",VLOOKUP('Infatrini Calculator desktop'!$N32,'Infatrini peptisorb'!$A:$C,2,FALSE)))))</f>
        <v>0.37</v>
      </c>
      <c r="P32" s="192">
        <f t="shared" si="3"/>
        <v>7.4148296593186377E-2</v>
      </c>
      <c r="Q32" s="77" t="str">
        <f>VLOOKUP($D$24&amp;N32,'nutr demand all ages'!C:E,3,FALSE)</f>
        <v>mg**</v>
      </c>
      <c r="R32" s="78" t="str">
        <f>VLOOKUP($D$24&amp;N32,'nutr demand all ages'!$C:$I,7,FALSE)</f>
        <v>AH</v>
      </c>
      <c r="S32" s="79">
        <f>IF(W32="abs",VLOOKUP($D$24&amp;N32,'nutr demand all ages'!$C:$G,5,FALSE),VLOOKUP($D$24&amp;N32,'nutr demand all ages'!$C:$G,5,FALSE)*'Infatrini Calculator desktop'!$H$25)</f>
        <v>0</v>
      </c>
      <c r="T32" s="77" t="str">
        <f>IF(W32="abs",VLOOKUP($D$24&amp;N32,'nutr demand all ages'!$C:$E,3,FALSE),LEFT(VLOOKUP($D$24&amp;N32,'nutr demand all ages'!$C:$E,3,FALSE),4))</f>
        <v>mg**</v>
      </c>
      <c r="U32" s="157" t="str">
        <f t="shared" si="5"/>
        <v/>
      </c>
      <c r="V32" s="215"/>
      <c r="W32" s="16" t="str">
        <f>VLOOKUP($D$24&amp;N32,'nutr demand all ages'!C:F,4,FALSE)</f>
        <v>abs</v>
      </c>
    </row>
    <row r="33" spans="1:112" ht="15.75" customHeight="1" x14ac:dyDescent="0.25">
      <c r="A33" s="16" t="str">
        <f>VLOOKUP($D$24&amp;D33,'nutr demand all ages'!C:F,4,FALSE)</f>
        <v>rel</v>
      </c>
      <c r="D33" s="98" t="s">
        <v>46</v>
      </c>
      <c r="E33" s="99"/>
      <c r="F33" s="196">
        <f>IF($D$5="Infatrini in poedervorm",VLOOKUP($D33,'Infatrini poeder'!$A:$C,2,FALSE),IF('Infatrini Calculator desktop'!$D$5="Infatrini 125ml",VLOOKUP('Infatrini Calculator desktop'!$D33,'Infatrini liquid'!$A:$C,2,FALSE),IF('Infatrini Calculator desktop'!$D$5="Infatrini 200ml",VLOOKUP('Infatrini Calculator desktop'!$D33,'Infatrini liquid'!$A:$C,2,FALSE),IF('Infatrini Calculator desktop'!$D$5="Infatrini peptisorb",VLOOKUP('Infatrini Calculator desktop'!$D33,'Infatrini peptisorb'!$A:$C,2,FALSE)))))</f>
        <v>0.33</v>
      </c>
      <c r="G33" s="196">
        <f t="shared" si="6"/>
        <v>6.6132264529058113E-2</v>
      </c>
      <c r="H33" s="82" t="str">
        <f>IF($D$5="Infatrini in poedervorm",VLOOKUP($D33,'Infatrini poeder'!$A:$C,3,FALSE),IF('Infatrini Calculator desktop'!$D$5="Infatrini 125ml",VLOOKUP('Infatrini Calculator desktop'!$D33,'Infatrini liquid'!$A:$C,3,FALSE),IF('Infatrini Calculator desktop'!$D$5="Infatrini 200ml",VLOOKUP('Infatrini Calculator desktop'!$D33,'Infatrini liquid'!$A:$C,3,FALSE),IF('Infatrini Calculator desktop'!$D$5="Infatrini peptisorb",VLOOKUP('Infatrini Calculator desktop'!$D33,'Infatrini peptisorb'!$A:$C,3,FALSE)))))</f>
        <v>g</v>
      </c>
      <c r="I33" s="66" t="str">
        <f>VLOOKUP($D$24&amp;D33,'nutr demand all ages'!$C:$I,7,FALSE)</f>
        <v>AI</v>
      </c>
      <c r="J33" s="197">
        <f>IF(A33="abs",VLOOKUP($D$24&amp;D33,'nutr demand all ages'!$C:$G,5,FALSE),VLOOKUP($D$24&amp;D33,'nutr demand all ages'!$C:$G,5,FALSE)*'Infatrini Calculator desktop'!$H$25)</f>
        <v>4.8000000000000007</v>
      </c>
      <c r="K33" s="82" t="str">
        <f>IF(A33="abs",VLOOKUP($D$24&amp;D33,'nutr demand all ages'!$C:$E,3,FALSE),LEFT(VLOOKUP($D$24&amp;D33,'nutr demand all ages'!$C:$E,3,FALSE),4))</f>
        <v>gram</v>
      </c>
      <c r="L33" s="85">
        <f t="shared" si="4"/>
        <v>1.3777555110220437E-2</v>
      </c>
      <c r="M33" s="17"/>
      <c r="N33" s="94" t="s">
        <v>47</v>
      </c>
      <c r="O33" s="95">
        <f>IF($D$5="Infatrini in poedervorm",VLOOKUP($N33,'Infatrini poeder'!$A:$C,2,FALSE),IF('Infatrini Calculator desktop'!$D$5="Infatrini 125ml",VLOOKUP('Infatrini Calculator desktop'!$N33,'Infatrini liquid'!$A:$C,2,FALSE),IF('Infatrini Calculator desktop'!$D$5="Infatrini 200ml",VLOOKUP('Infatrini Calculator desktop'!$N33,'Infatrini liquid'!$A:$C,2,FALSE),IF('Infatrini Calculator desktop'!$D$5="Infatrini peptisorb",VLOOKUP('Infatrini Calculator desktop'!$N33,'Infatrini peptisorb'!$A:$C,2,FALSE)))))</f>
        <v>94.3</v>
      </c>
      <c r="P33" s="95">
        <f t="shared" si="3"/>
        <v>18.897795591182366</v>
      </c>
      <c r="Q33" s="82" t="str">
        <f>VLOOKUP($D$24&amp;N33,'nutr demand all ages'!C:E,3,FALSE)</f>
        <v>µg**</v>
      </c>
      <c r="R33" s="83" t="str">
        <f>VLOOKUP($D$24&amp;N33,'nutr demand all ages'!$C:$I,7,FALSE)</f>
        <v>AH</v>
      </c>
      <c r="S33" s="84">
        <f>IF(W33="abs",VLOOKUP($D$24&amp;N33,'nutr demand all ages'!$C:$G,5,FALSE),VLOOKUP($D$24&amp;N33,'nutr demand all ages'!$C:$G,5,FALSE)*'Infatrini Calculator desktop'!$H$25)</f>
        <v>0</v>
      </c>
      <c r="T33" s="82" t="str">
        <f>IF(W33="abs",VLOOKUP($D$24&amp;N33,'nutr demand all ages'!$C:$E,3,FALSE),LEFT(VLOOKUP($D$24&amp;N33,'nutr demand all ages'!$C:$E,3,FALSE),4))</f>
        <v>µg**</v>
      </c>
      <c r="U33" s="100" t="str">
        <f t="shared" si="5"/>
        <v/>
      </c>
      <c r="V33" s="215"/>
      <c r="W33" s="16" t="str">
        <f>VLOOKUP($D$24&amp;N33,'nutr demand all ages'!C:F,4,FALSE)</f>
        <v>abs</v>
      </c>
    </row>
    <row r="34" spans="1:112" ht="15.75" customHeight="1" x14ac:dyDescent="0.25">
      <c r="A34" s="16">
        <f>VLOOKUP($D$24&amp;D34,'nutr demand all ages'!C:F,4,FALSE)</f>
        <v>0</v>
      </c>
      <c r="D34" s="101" t="s">
        <v>48</v>
      </c>
      <c r="E34" s="102"/>
      <c r="F34" s="187">
        <f>IF($D$5="Infatrini in poedervorm",VLOOKUP($D34,'Infatrini poeder'!$A:$C,2,FALSE),IF('Infatrini Calculator desktop'!$D$5="Infatrini 125ml",VLOOKUP('Infatrini Calculator desktop'!$D34,'Infatrini liquid'!$A:$C,2,FALSE),IF('Infatrini Calculator desktop'!$D$5="Infatrini 200ml",VLOOKUP('Infatrini Calculator desktop'!$D34,'Infatrini liquid'!$A:$C,2,FALSE),IF('Infatrini Calculator desktop'!$D$5="Infatrini peptisorb",VLOOKUP('Infatrini Calculator desktop'!$D34,'Infatrini peptisorb'!$A:$C,2,FALSE)))))</f>
        <v>120</v>
      </c>
      <c r="G34" s="188">
        <f t="shared" si="6"/>
        <v>24.048096192384769</v>
      </c>
      <c r="H34" s="77" t="str">
        <f>IF($D$5="Infatrini in poedervorm",VLOOKUP($D34,'Infatrini poeder'!$A:$C,3,FALSE),IF('Infatrini Calculator desktop'!$D$5="Infatrini 125ml",VLOOKUP('Infatrini Calculator desktop'!$D34,'Infatrini liquid'!$A:$C,3,FALSE),IF('Infatrini Calculator desktop'!$D$5="Infatrini 200ml",VLOOKUP('Infatrini Calculator desktop'!$D34,'Infatrini liquid'!$A:$C,3,FALSE),IF('Infatrini Calculator desktop'!$D$5="Infatrini peptisorb",VLOOKUP('Infatrini Calculator desktop'!$D34,'Infatrini peptisorb'!$A:$C,3,FALSE)))))</f>
        <v>mg</v>
      </c>
      <c r="I34" s="160">
        <f>VLOOKUP($D$24&amp;D34,'nutr demand all ages'!$C:$I,7,FALSE)</f>
        <v>0</v>
      </c>
      <c r="J34" s="79">
        <f>IF(A34="abs",VLOOKUP($D$24&amp;D34,'nutr demand all ages'!$C:$G,5,FALSE),VLOOKUP($D$24&amp;D34,'nutr demand all ages'!$C:$G,5,FALSE)*'Infatrini Calculator desktop'!$H$25)</f>
        <v>0</v>
      </c>
      <c r="K34" s="77" t="str">
        <f>IF(A34="abs",VLOOKUP($D$24&amp;D34,'nutr demand all ages'!$C:$E,3,FALSE),LEFT(VLOOKUP($D$24&amp;D34,'nutr demand all ages'!$C:$E,3,FALSE),4))</f>
        <v/>
      </c>
      <c r="L34" s="80" t="str">
        <f t="shared" si="4"/>
        <v/>
      </c>
      <c r="M34" s="17"/>
      <c r="N34" s="92" t="s">
        <v>49</v>
      </c>
      <c r="O34" s="93">
        <f>IF($D$5="Infatrini in poedervorm",VLOOKUP($N34,'Infatrini poeder'!$A:$C,2,FALSE),IF('Infatrini Calculator desktop'!$D$5="Infatrini 125ml",VLOOKUP('Infatrini Calculator desktop'!$N34,'Infatrini liquid'!$A:$C,2,FALSE),IF('Infatrini Calculator desktop'!$D$5="Infatrini 200ml",VLOOKUP('Infatrini Calculator desktop'!$N34,'Infatrini liquid'!$A:$C,2,FALSE),IF('Infatrini Calculator desktop'!$D$5="Infatrini peptisorb",VLOOKUP('Infatrini Calculator desktop'!$N34,'Infatrini peptisorb'!$A:$C,2,FALSE)))))</f>
        <v>15.8</v>
      </c>
      <c r="P34" s="93">
        <f>IFERROR($G$28*O34/$F$28,O34)</f>
        <v>3.1663326653306614</v>
      </c>
      <c r="Q34" s="77" t="str">
        <f>VLOOKUP($D$24&amp;N34,'nutr demand all ages'!C:E,3,FALSE)</f>
        <v>µg**</v>
      </c>
      <c r="R34" s="78" t="str">
        <f>VLOOKUP($D$24&amp;N34,'nutr demand all ages'!$C:$I,7,FALSE)</f>
        <v>AI</v>
      </c>
      <c r="S34" s="79">
        <f>IF(W34="abs",VLOOKUP($D$24&amp;N34,'nutr demand all ages'!$C:$G,5,FALSE),VLOOKUP($D$24&amp;N34,'nutr demand all ages'!$C:$G,5,FALSE)*'Infatrini Calculator desktop'!$H$25)</f>
        <v>0</v>
      </c>
      <c r="T34" s="77" t="str">
        <f>IF(W34="abs",VLOOKUP($D$24&amp;N34,'nutr demand all ages'!$C:$E,3,FALSE),LEFT(VLOOKUP($D$24&amp;N34,'nutr demand all ages'!$C:$E,3,FALSE),4))</f>
        <v>µg**</v>
      </c>
      <c r="U34" s="157" t="str">
        <f t="shared" si="5"/>
        <v/>
      </c>
      <c r="V34" s="215"/>
      <c r="W34" s="16" t="str">
        <f>VLOOKUP($D$24&amp;N34,'nutr demand all ages'!C:F,4,FALSE)</f>
        <v>abs</v>
      </c>
    </row>
    <row r="35" spans="1:112" ht="15.75" customHeight="1" x14ac:dyDescent="0.25">
      <c r="A35" s="16">
        <f>VLOOKUP($D$24&amp;D35,'nutr demand all ages'!C:F,4,FALSE)</f>
        <v>0</v>
      </c>
      <c r="D35" s="98" t="s">
        <v>50</v>
      </c>
      <c r="E35" s="99"/>
      <c r="F35" s="189">
        <f>IF($D$5="Infatrini in poedervorm",VLOOKUP($D35,'Infatrini poeder'!$A:$C,2,FALSE),IF('Infatrini Calculator desktop'!$D$5="Infatrini 125ml",VLOOKUP('Infatrini Calculator desktop'!$D35,'Infatrini liquid'!$A:$C,2,FALSE),IF('Infatrini Calculator desktop'!$D$5="Infatrini 200ml",VLOOKUP('Infatrini Calculator desktop'!$D35,'Infatrini liquid'!$A:$C,2,FALSE),IF('Infatrini Calculator desktop'!$D$5="Infatrini peptisorb",VLOOKUP('Infatrini Calculator desktop'!$D35,'Infatrini peptisorb'!$A:$C,2,FALSE)))))</f>
        <v>120</v>
      </c>
      <c r="G35" s="189">
        <f t="shared" si="6"/>
        <v>24.048096192384769</v>
      </c>
      <c r="H35" s="82" t="str">
        <f>IF($D$5="Infatrini in poedervorm",VLOOKUP($D35,'Infatrini poeder'!$A:$C,3,FALSE),IF('Infatrini Calculator desktop'!$D$5="Infatrini 125ml",VLOOKUP('Infatrini Calculator desktop'!$D35,'Infatrini liquid'!$A:$C,3,FALSE),IF('Infatrini Calculator desktop'!$D$5="Infatrini 200ml",VLOOKUP('Infatrini Calculator desktop'!$D35,'Infatrini liquid'!$A:$C,3,FALSE),IF('Infatrini Calculator desktop'!$D$5="Infatrini peptisorb",VLOOKUP('Infatrini Calculator desktop'!$D35,'Infatrini peptisorb'!$A:$C,3,FALSE)))))</f>
        <v>mg</v>
      </c>
      <c r="I35" s="66">
        <f>VLOOKUP($D$24&amp;D35,'nutr demand all ages'!$C:$I,7,FALSE)</f>
        <v>0</v>
      </c>
      <c r="J35" s="84">
        <f>IF(A35="abs",VLOOKUP($D$24&amp;D35,'nutr demand all ages'!$C:$G,5,FALSE),VLOOKUP($D$24&amp;D35,'nutr demand all ages'!$C:$G,5,FALSE)*'Infatrini Calculator desktop'!$H$25)</f>
        <v>0</v>
      </c>
      <c r="K35" s="82" t="str">
        <f>IF(A35="abs",VLOOKUP($D$24&amp;D35,'nutr demand all ages'!$C:$E,3,FALSE),LEFT(VLOOKUP($D$24&amp;D35,'nutr demand all ages'!$C:$E,3,FALSE),4))</f>
        <v/>
      </c>
      <c r="L35" s="85" t="str">
        <f t="shared" si="4"/>
        <v/>
      </c>
      <c r="M35" s="17"/>
      <c r="N35" s="94" t="s">
        <v>51</v>
      </c>
      <c r="O35" s="196">
        <f>IF($D$5="Infatrini in poedervorm",VLOOKUP($N35,'Infatrini poeder'!$A:$C,2,FALSE),IF('Infatrini Calculator desktop'!$D$5="Infatrini 125ml",VLOOKUP('Infatrini Calculator desktop'!$N35,'Infatrini liquid'!$A:$C,2,FALSE),IF('Infatrini Calculator desktop'!$D$5="Infatrini 200ml",VLOOKUP('Infatrini Calculator desktop'!$N35,'Infatrini liquid'!$A:$C,2,FALSE),IF('Infatrini Calculator desktop'!$D$5="Infatrini peptisorb",VLOOKUP('Infatrini Calculator desktop'!$N35,'Infatrini peptisorb'!$A:$C,2,FALSE)))))</f>
        <v>7.48</v>
      </c>
      <c r="P35" s="196">
        <f>IFERROR($G$28*O35/$F$28,O35)</f>
        <v>1.4989979959919839</v>
      </c>
      <c r="Q35" s="82" t="str">
        <f>VLOOKUP($D$24&amp;N35,'nutr demand all ages'!C:E,3,FALSE)</f>
        <v>µg**</v>
      </c>
      <c r="R35" s="83" t="str">
        <f>VLOOKUP($D$24&amp;N35,'nutr demand all ages'!$C:$I,7,FALSE)</f>
        <v>AI</v>
      </c>
      <c r="S35" s="84">
        <f>IF(W35="abs",VLOOKUP($D$24&amp;N35,'nutr demand all ages'!$C:$G,5,FALSE),VLOOKUP($D$24&amp;N35,'nutr demand all ages'!$C:$G,5,FALSE)*'Infatrini Calculator desktop'!$H$25)</f>
        <v>0.2</v>
      </c>
      <c r="T35" s="82" t="str">
        <f>IF(W35="abs",VLOOKUP($D$24&amp;N35,'nutr demand all ages'!$C:$E,3,FALSE),LEFT(VLOOKUP($D$24&amp;N35,'nutr demand all ages'!$C:$E,3,FALSE),4))</f>
        <v>µg**</v>
      </c>
      <c r="U35" s="100">
        <f t="shared" si="5"/>
        <v>7.4949899799599189</v>
      </c>
      <c r="V35" s="215"/>
      <c r="W35" s="16" t="str">
        <f>VLOOKUP($D$24&amp;N35,'nutr demand all ages'!C:F,4,FALSE)</f>
        <v>abs</v>
      </c>
    </row>
    <row r="36" spans="1:112" ht="15.75" customHeight="1" x14ac:dyDescent="0.25">
      <c r="A36" s="16" t="str">
        <f>VLOOKUP($D$24&amp;D36,'nutr demand all ages'!C:F,4,FALSE)</f>
        <v>rel</v>
      </c>
      <c r="D36" s="101" t="s">
        <v>52</v>
      </c>
      <c r="E36" s="102"/>
      <c r="F36" s="93">
        <f>IF($D$5="Infatrini in poedervorm",VLOOKUP($D36,'Infatrini poeder'!$A:$C,2,FALSE),IF('Infatrini Calculator desktop'!$D$5="Infatrini 125ml",VLOOKUP('Infatrini Calculator desktop'!$D36,'Infatrini liquid'!$A:$C,2,FALSE),IF('Infatrini Calculator desktop'!$D$5="Infatrini 200ml",VLOOKUP('Infatrini Calculator desktop'!$D36,'Infatrini liquid'!$A:$C,2,FALSE),IF('Infatrini Calculator desktop'!$D$5="Infatrini peptisorb",VLOOKUP('Infatrini Calculator desktop'!$D36,'Infatrini peptisorb'!$A:$C,2,FALSE)))))</f>
        <v>49.7</v>
      </c>
      <c r="G36" s="103">
        <f t="shared" si="6"/>
        <v>9.9599198396793582</v>
      </c>
      <c r="H36" s="77" t="str">
        <f>IF($D$5="Infatrini in poedervorm",VLOOKUP($D36,'Infatrini poeder'!$A:$C,3,FALSE),IF('Infatrini Calculator desktop'!$D$5="Infatrini 125ml",VLOOKUP('Infatrini Calculator desktop'!$D36,'Infatrini liquid'!$A:$C,3,FALSE),IF('Infatrini Calculator desktop'!$D$5="Infatrini 200ml",VLOOKUP('Infatrini Calculator desktop'!$D36,'Infatrini liquid'!$A:$C,3,FALSE),IF('Infatrini Calculator desktop'!$D$5="Infatrini peptisorb",VLOOKUP('Infatrini Calculator desktop'!$D36,'Infatrini peptisorb'!$A:$C,3,FALSE)))))</f>
        <v>g</v>
      </c>
      <c r="I36" s="160" t="str">
        <f>VLOOKUP($D$24&amp;D36,'nutr demand all ages'!$C:$I,7,FALSE)</f>
        <v>AI</v>
      </c>
      <c r="J36" s="79">
        <f>IF(A36="abs",VLOOKUP($D$24&amp;D36,'nutr demand all ages'!$C:$G,5,FALSE),VLOOKUP($D$24&amp;D36,'nutr demand all ages'!$C:$G,5,FALSE)*'Infatrini Calculator desktop'!$H$25)</f>
        <v>60</v>
      </c>
      <c r="K36" s="77" t="str">
        <f>IF(A36="abs",VLOOKUP($D$24&amp;D36,'nutr demand all ages'!$C:$E,3,FALSE),LEFT(VLOOKUP($D$24&amp;D36,'nutr demand all ages'!$C:$E,3,FALSE),4))</f>
        <v>gram</v>
      </c>
      <c r="L36" s="80">
        <f t="shared" si="4"/>
        <v>0.16599866399465596</v>
      </c>
      <c r="M36" s="17"/>
      <c r="N36" s="92" t="s">
        <v>53</v>
      </c>
      <c r="O36" s="93">
        <f>IF($D$5="Infatrini in poedervorm",VLOOKUP($N36,'Infatrini poeder'!$A:$C,2,FALSE),IF('Infatrini Calculator desktop'!$D$5="Infatrini 125ml",VLOOKUP('Infatrini Calculator desktop'!$N36,'Infatrini liquid'!$A:$C,2,FALSE),IF('Infatrini Calculator desktop'!$D$5="Infatrini 200ml",VLOOKUP('Infatrini Calculator desktop'!$N36,'Infatrini liquid'!$A:$C,2,FALSE),IF('Infatrini Calculator desktop'!$D$5="Infatrini peptisorb",VLOOKUP('Infatrini Calculator desktop'!$N36,'Infatrini peptisorb'!$A:$C,2,FALSE)))))</f>
        <v>18.7</v>
      </c>
      <c r="P36" s="93">
        <f t="shared" si="3"/>
        <v>3.7474949899799599</v>
      </c>
      <c r="Q36" s="77" t="str">
        <f>VLOOKUP($D$24&amp;N36,'nutr demand all ages'!C:E,3,FALSE)</f>
        <v>µg**</v>
      </c>
      <c r="R36" s="78" t="str">
        <f>VLOOKUP($D$24&amp;N36,'nutr demand all ages'!$C:$I,7,FALSE)</f>
        <v>AH</v>
      </c>
      <c r="S36" s="79">
        <f>IF(W36="abs",VLOOKUP($D$24&amp;N36,'nutr demand all ages'!$C:$G,5,FALSE),VLOOKUP($D$24&amp;N36,'nutr demand all ages'!$C:$G,5,FALSE)*'Infatrini Calculator desktop'!$H$25)</f>
        <v>0</v>
      </c>
      <c r="T36" s="77" t="str">
        <f>IF(W36="abs",VLOOKUP($D$24&amp;N36,'nutr demand all ages'!$C:$E,3,FALSE),LEFT(VLOOKUP($D$24&amp;N36,'nutr demand all ages'!$C:$E,3,FALSE),4))</f>
        <v>µg**</v>
      </c>
      <c r="U36" s="157" t="str">
        <f t="shared" si="5"/>
        <v/>
      </c>
      <c r="V36" s="215"/>
      <c r="W36" s="16" t="str">
        <f>VLOOKUP($D$24&amp;N36,'nutr demand all ages'!C:F,4,FALSE)</f>
        <v>abs</v>
      </c>
    </row>
    <row r="37" spans="1:112" ht="15.75" customHeight="1" x14ac:dyDescent="0.25">
      <c r="A37" s="16">
        <f>VLOOKUP($D$24&amp;D37,'nutr demand all ages'!C:F,4,FALSE)</f>
        <v>0</v>
      </c>
      <c r="D37" s="98" t="s">
        <v>54</v>
      </c>
      <c r="E37" s="99"/>
      <c r="F37" s="95">
        <f>IF($D$5="Infatrini in poedervorm",VLOOKUP($D37,'Infatrini poeder'!$A:$C,2,FALSE),IF('Infatrini Calculator desktop'!$D$5="Infatrini 125ml",VLOOKUP('Infatrini Calculator desktop'!$D37,'Infatrini liquid'!$A:$C,2,FALSE),IF('Infatrini Calculator desktop'!$D$5="Infatrini 200ml",VLOOKUP('Infatrini Calculator desktop'!$D37,'Infatrini liquid'!$A:$C,2,FALSE),IF('Infatrini Calculator desktop'!$D$5="Infatrini peptisorb",VLOOKUP('Infatrini Calculator desktop'!$D37,'Infatrini peptisorb'!$A:$C,2,FALSE)))))</f>
        <v>2.8</v>
      </c>
      <c r="G37" s="95">
        <f t="shared" si="6"/>
        <v>0.56112224448897796</v>
      </c>
      <c r="H37" s="82" t="str">
        <f>IF($D$5="Infatrini in poedervorm",VLOOKUP($D37,'Infatrini poeder'!$A:$C,3,FALSE),IF('Infatrini Calculator desktop'!$D$5="Infatrini 125ml",VLOOKUP('Infatrini Calculator desktop'!$D37,'Infatrini liquid'!$A:$C,3,FALSE),IF('Infatrini Calculator desktop'!$D$5="Infatrini 200ml",VLOOKUP('Infatrini Calculator desktop'!$D37,'Infatrini liquid'!$A:$C,3,FALSE),IF('Infatrini Calculator desktop'!$D$5="Infatrini peptisorb",VLOOKUP('Infatrini Calculator desktop'!$D37,'Infatrini peptisorb'!$A:$C,3,FALSE)))))</f>
        <v>g</v>
      </c>
      <c r="I37" s="66">
        <f>VLOOKUP($D$24&amp;D37,'nutr demand all ages'!$C:$I,7,FALSE)</f>
        <v>0</v>
      </c>
      <c r="J37" s="84">
        <f>IF(A37="abs",VLOOKUP($D$24&amp;D37,'nutr demand all ages'!$C:$G,5,FALSE),VLOOKUP($D$24&amp;D37,'nutr demand all ages'!$C:$G,5,FALSE)*'Infatrini Calculator desktop'!$H$25)</f>
        <v>0</v>
      </c>
      <c r="K37" s="82" t="str">
        <f>IF(A37="abs",VLOOKUP($D$24&amp;D37,'nutr demand all ages'!$C:$E,3,FALSE),LEFT(VLOOKUP($D$24&amp;D37,'nutr demand all ages'!$C:$E,3,FALSE),4))</f>
        <v/>
      </c>
      <c r="L37" s="85" t="str">
        <f t="shared" si="4"/>
        <v/>
      </c>
      <c r="M37" s="17"/>
      <c r="N37" s="94" t="s">
        <v>55</v>
      </c>
      <c r="O37" s="213">
        <f>IF($D$5="Infatrini in poedervorm",VLOOKUP($N37,'Infatrini poeder'!$A:$C,2,FALSE),IF('Infatrini Calculator desktop'!$D$5="Infatrini 125ml",VLOOKUP('Infatrini Calculator desktop'!$N37,'Infatrini liquid'!$A:$C,2,FALSE),IF('Infatrini Calculator desktop'!$D$5="Infatrini 200ml",VLOOKUP('Infatrini Calculator desktop'!$N37,'Infatrini liquid'!$A:$C,2,FALSE),IF('Infatrini Calculator desktop'!$D$5="Infatrini peptisorb",VLOOKUP('Infatrini Calculator desktop'!$N37,'Infatrini peptisorb'!$A:$C,2,FALSE)))))</f>
        <v>185</v>
      </c>
      <c r="P37" s="213">
        <f t="shared" si="3"/>
        <v>37.074148296593187</v>
      </c>
      <c r="Q37" s="82" t="str">
        <f>VLOOKUP($D$24&amp;N37,'nutr demand all ages'!C:E,3,FALSE)</f>
        <v>gram**</v>
      </c>
      <c r="R37" s="83" t="str">
        <f>VLOOKUP($D$24&amp;N37,'nutr demand all ages'!$C:$I,7,FALSE)</f>
        <v>AB</v>
      </c>
      <c r="S37" s="84">
        <f>IF(W37="abs",VLOOKUP($D$24&amp;N37,'nutr demand all ages'!$C:$G,5,FALSE),VLOOKUP($D$24&amp;N37,'nutr demand all ages'!$C:$G,5,FALSE)*'Infatrini Calculator desktop'!$H$25)</f>
        <v>0</v>
      </c>
      <c r="T37" s="82" t="str">
        <f>IF(W37="abs",VLOOKUP($D$24&amp;N37,'nutr demand all ages'!$C:$E,3,FALSE),LEFT(VLOOKUP($D$24&amp;N37,'nutr demand all ages'!$C:$E,3,FALSE),4))</f>
        <v>gram**</v>
      </c>
      <c r="U37" s="100" t="str">
        <f t="shared" si="5"/>
        <v/>
      </c>
      <c r="V37" s="215"/>
      <c r="W37" s="16" t="str">
        <f>VLOOKUP($D$24&amp;N37,'nutr demand all ages'!C:F,4,FALSE)</f>
        <v>abs</v>
      </c>
    </row>
    <row r="38" spans="1:112" ht="15.75" customHeight="1" x14ac:dyDescent="0.25">
      <c r="A38" s="16">
        <f>VLOOKUP($D$24&amp;D38,'nutr demand all ages'!C:F,4,FALSE)</f>
        <v>0</v>
      </c>
      <c r="D38" s="101" t="s">
        <v>56</v>
      </c>
      <c r="E38" s="102"/>
      <c r="F38" s="176" t="str">
        <f>IF($D$5="Infatrini in poedervorm",VLOOKUP($D38,'Infatrini poeder'!$A:$C,2,FALSE),IF('Infatrini Calculator desktop'!$D$5="Infatrini 125ml",VLOOKUP('Infatrini Calculator desktop'!$D38,'Infatrini liquid'!$A:$C,2,FALSE),IF('Infatrini Calculator desktop'!$D$5="Infatrini 200ml",VLOOKUP('Infatrini Calculator desktop'!$D38,'Infatrini liquid'!$A:$C,2,FALSE),IF('Infatrini Calculator desktop'!$D$5="Infatrini peptisorb",VLOOKUP('Infatrini Calculator desktop'!$D38,'Infatrini peptisorb'!$A:$C,2,FALSE)))))</f>
        <v>3%</v>
      </c>
      <c r="G38" s="177" t="str">
        <f>IF(F38="3%","3%",IF(F38="","",$G$28*F38/$F$28))</f>
        <v>3%</v>
      </c>
      <c r="H38" s="77" t="str">
        <f>IF(G38="3%","",IF($D$5="Infatrini in poedervorm",VLOOKUP($D38,'Infatrini poeder'!$A:$C,3,FALSE),IF('Infatrini Calculator desktop'!$D$5="Infatrini 125ml",VLOOKUP('Infatrini Calculator desktop'!$D38,'Infatrini liquid'!$A:$C,3,FALSE),IF('Infatrini Calculator desktop'!$D$5="Infatrini 200ml",VLOOKUP('Infatrini Calculator desktop'!$D38,'Infatrini liquid'!$A:$C,3,FALSE),IF('Infatrini Calculator desktop'!$D$5="Infatrini peptisorb",VLOOKUP('Infatrini Calculator desktop'!$D38,'Infatrini peptisorb'!$A:$C,3,FALSE))))))</f>
        <v/>
      </c>
      <c r="I38" s="160">
        <f>VLOOKUP($D$24&amp;D38,'nutr demand all ages'!$C:$I,7,FALSE)</f>
        <v>0</v>
      </c>
      <c r="J38" s="79">
        <f>IF(A38="abs",VLOOKUP($D$24&amp;D38,'nutr demand all ages'!$C:$G,5,FALSE),VLOOKUP($D$24&amp;D38,'nutr demand all ages'!$C:$G,5,FALSE)*'Infatrini Calculator desktop'!$H$25)</f>
        <v>0</v>
      </c>
      <c r="K38" s="77" t="str">
        <f>IF(A38="abs",VLOOKUP($D$24&amp;D38,'nutr demand all ages'!$C:$E,3,FALSE),LEFT(VLOOKUP($D$24&amp;D38,'nutr demand all ages'!$C:$E,3,FALSE),4))</f>
        <v/>
      </c>
      <c r="L38" s="80" t="str">
        <f t="shared" si="4"/>
        <v/>
      </c>
      <c r="M38" s="17"/>
      <c r="N38" s="92" t="s">
        <v>57</v>
      </c>
      <c r="O38" s="212">
        <f>IF($D$5="Infatrini in poedervorm",VLOOKUP($N38,'Infatrini poeder'!$A:$C,2,FALSE),IF('Infatrini Calculator desktop'!$D$5="Infatrini 125ml",VLOOKUP('Infatrini Calculator desktop'!$N38,'Infatrini liquid'!$A:$C,2,FALSE),IF('Infatrini Calculator desktop'!$D$5="Infatrini 200ml",VLOOKUP('Infatrini Calculator desktop'!$N38,'Infatrini liquid'!$A:$C,2,FALSE),IF('Infatrini Calculator desktop'!$D$5="Infatrini peptisorb",VLOOKUP('Infatrini Calculator desktop'!$N38,'Infatrini peptisorb'!$A:$C,2,FALSE)))))</f>
        <v>499</v>
      </c>
      <c r="P38" s="212">
        <f t="shared" si="3"/>
        <v>100</v>
      </c>
      <c r="Q38" s="77" t="str">
        <f>VLOOKUP($D$24&amp;N38,'nutr demand all ages'!C:E,3,FALSE)</f>
        <v>mg**</v>
      </c>
      <c r="R38" s="78" t="str">
        <f>VLOOKUP($D$24&amp;N38,'nutr demand all ages'!$C:$I,7,FALSE)</f>
        <v>AH</v>
      </c>
      <c r="S38" s="79">
        <f>IF(W38="abs",VLOOKUP($D$24&amp;N38,'nutr demand all ages'!$C:$G,5,FALSE),VLOOKUP($D$24&amp;N38,'nutr demand all ages'!$C:$G,5,FALSE)*'Infatrini Calculator desktop'!$H$25)</f>
        <v>0</v>
      </c>
      <c r="T38" s="77" t="str">
        <f>IF(W38="abs",VLOOKUP($D$24&amp;N38,'nutr demand all ages'!$C:$E,3,FALSE),LEFT(VLOOKUP($D$24&amp;N38,'nutr demand all ages'!$C:$E,3,FALSE),4))</f>
        <v>mg**</v>
      </c>
      <c r="U38" s="157" t="str">
        <f t="shared" si="5"/>
        <v/>
      </c>
      <c r="V38" s="215"/>
      <c r="W38" s="16" t="str">
        <f>VLOOKUP($D$24&amp;N38,'nutr demand all ages'!C:F,4,FALSE)</f>
        <v>abs</v>
      </c>
    </row>
    <row r="39" spans="1:112" ht="15.75" customHeight="1" x14ac:dyDescent="0.25">
      <c r="A39" s="16" t="e">
        <f>VLOOKUP($D$24&amp;D39,'nutr demand all ages'!C:F,4,FALSE)</f>
        <v>#N/A</v>
      </c>
      <c r="D39" s="168" t="s">
        <v>58</v>
      </c>
      <c r="E39" s="169"/>
      <c r="F39" s="180">
        <f>IF($D$5="Infatrini in poedervorm",VLOOKUP(F19,'Infatrini poeder oplossingen'!$B:$E,4,FALSE),IF('Infatrini Calculator desktop'!$D$5="Infatrini 125ml",VLOOKUP('Infatrini Calculator desktop'!$D39,'Infatrini liquid'!$A:$C,2,FALSE),IF('Infatrini Calculator desktop'!$D$5="Infatrini 200ml",VLOOKUP('Infatrini Calculator desktop'!$D39,'Infatrini liquid'!$A:$C,2,FALSE),IF('Infatrini Calculator desktop'!$D$5="Infatrini peptisorb",VLOOKUP('Infatrini Calculator desktop'!$D39,'Infatrini peptisorb'!$A:$C,2,FALSE)))))</f>
        <v>340</v>
      </c>
      <c r="G39" s="186" t="s">
        <v>59</v>
      </c>
      <c r="H39" s="181" t="str">
        <f>IF(VLOOKUP(F19,List_Validations_Cross_Ref!$A$3:$B$11,2,FALSE)=1,"***","")</f>
        <v/>
      </c>
      <c r="I39" s="182"/>
      <c r="J39" s="178"/>
      <c r="K39" s="178"/>
      <c r="L39" s="179"/>
      <c r="M39" s="17"/>
      <c r="N39" s="104" t="s">
        <v>60</v>
      </c>
      <c r="O39" s="214">
        <f>IF($D$5="Infatrini in poedervorm",VLOOKUP($N39,'Infatrini poeder'!$A:$C,2,FALSE),IF('Infatrini Calculator desktop'!$D$5="Infatrini 125ml",VLOOKUP('Infatrini Calculator desktop'!$N39,'Infatrini liquid'!$A:$C,2,FALSE),IF('Infatrini Calculator desktop'!$D$5="Infatrini 200ml",VLOOKUP('Infatrini Calculator desktop'!$N39,'Infatrini liquid'!$A:$C,2,FALSE),IF('Infatrini Calculator desktop'!$D$5="Infatrini peptisorb",VLOOKUP('Infatrini Calculator desktop'!$N39,'Infatrini peptisorb'!$A:$C,2,FALSE)))))</f>
        <v>374</v>
      </c>
      <c r="P39" s="214">
        <f t="shared" si="3"/>
        <v>74.949899799599194</v>
      </c>
      <c r="Q39" s="105" t="str">
        <f>VLOOKUP($D$24&amp;N39,'nutr demand all ages'!C:E,3,FALSE)</f>
        <v>gram**</v>
      </c>
      <c r="R39" s="106" t="str">
        <f>VLOOKUP($D$24&amp;N39,'nutr demand all ages'!$C:$I,7,FALSE)</f>
        <v>AI</v>
      </c>
      <c r="S39" s="107">
        <f>IF(W39="abs",VLOOKUP($D$24&amp;N39,'nutr demand all ages'!$C:$G,5,FALSE),VLOOKUP($D$24&amp;N39,'nutr demand all ages'!$C:$G,5,FALSE)*'Infatrini Calculator desktop'!$H$25)</f>
        <v>0</v>
      </c>
      <c r="T39" s="105" t="str">
        <f>IF(W39="abs",VLOOKUP($D$24&amp;N39,'nutr demand all ages'!$C:$E,3,FALSE),LEFT(VLOOKUP($D$24&amp;N39,'nutr demand all ages'!$C:$E,3,FALSE),4))</f>
        <v>gram**</v>
      </c>
      <c r="U39" s="158" t="str">
        <f t="shared" si="5"/>
        <v/>
      </c>
      <c r="V39" s="215"/>
      <c r="W39" s="16" t="str">
        <f>VLOOKUP($D$24&amp;N39,'nutr demand all ages'!C:F,4,FALSE)</f>
        <v>abs</v>
      </c>
    </row>
    <row r="40" spans="1:112" ht="12" customHeight="1" x14ac:dyDescent="0.25">
      <c r="A40" s="16"/>
      <c r="D40" s="108" t="s">
        <v>61</v>
      </c>
      <c r="E40" s="108"/>
      <c r="F40" s="108"/>
      <c r="G40" s="108"/>
      <c r="H40" s="108"/>
      <c r="I40" s="108"/>
      <c r="J40" s="108"/>
      <c r="K40" s="108"/>
      <c r="L40" s="108"/>
      <c r="M40" s="108"/>
      <c r="N40" s="108"/>
      <c r="O40" s="108"/>
      <c r="P40" s="108"/>
      <c r="Q40" s="108"/>
      <c r="R40" s="108"/>
      <c r="S40" s="108"/>
      <c r="T40" s="108"/>
      <c r="U40" s="108"/>
      <c r="V40" s="215"/>
    </row>
    <row r="41" spans="1:112" ht="12" customHeight="1" x14ac:dyDescent="0.25">
      <c r="A41" s="16"/>
      <c r="D41" s="108" t="s">
        <v>62</v>
      </c>
      <c r="E41" s="108"/>
      <c r="F41" s="108"/>
      <c r="G41" s="108"/>
      <c r="H41" s="108"/>
      <c r="I41" s="108"/>
      <c r="J41" s="108"/>
      <c r="K41" s="108"/>
      <c r="L41" s="108"/>
      <c r="M41" s="108"/>
      <c r="N41" s="108"/>
      <c r="P41" s="108"/>
      <c r="Q41" s="108"/>
      <c r="R41" s="108"/>
      <c r="S41" s="108"/>
      <c r="T41" s="108"/>
      <c r="U41" s="108"/>
      <c r="V41" s="215"/>
    </row>
    <row r="42" spans="1:112" ht="12" customHeight="1" x14ac:dyDescent="0.25">
      <c r="D42" s="108" t="s">
        <v>63</v>
      </c>
      <c r="E42" s="108"/>
      <c r="F42" s="108"/>
      <c r="G42" s="108"/>
      <c r="H42" s="108"/>
      <c r="I42" s="108"/>
      <c r="J42" s="108"/>
      <c r="K42" s="108"/>
      <c r="L42" s="108"/>
      <c r="M42" s="108"/>
      <c r="N42" s="108" t="s">
        <v>64</v>
      </c>
      <c r="O42" s="108"/>
      <c r="P42" s="108"/>
      <c r="Q42" s="108"/>
      <c r="R42" s="108"/>
      <c r="S42" s="108"/>
      <c r="T42" s="108"/>
      <c r="U42" s="108"/>
      <c r="V42" s="215"/>
    </row>
    <row r="43" spans="1:112" s="68" customFormat="1" ht="11.25" customHeight="1" x14ac:dyDescent="0.3">
      <c r="D43" s="108" t="s">
        <v>65</v>
      </c>
      <c r="E43" s="108"/>
      <c r="F43" s="108"/>
      <c r="G43" s="108"/>
      <c r="H43" s="108"/>
      <c r="I43" s="108"/>
      <c r="J43" s="108"/>
      <c r="K43" s="108"/>
      <c r="L43" s="108"/>
      <c r="M43" s="108"/>
      <c r="N43" s="108"/>
      <c r="O43" s="108"/>
      <c r="P43" s="108"/>
      <c r="Q43" s="108"/>
      <c r="R43" s="108"/>
      <c r="S43" s="108"/>
      <c r="T43" s="108"/>
      <c r="U43" s="108"/>
      <c r="V43" s="215"/>
      <c r="W43" s="64"/>
      <c r="X43" s="64"/>
      <c r="Y43" s="64"/>
      <c r="Z43" s="64"/>
      <c r="AA43" s="64"/>
      <c r="AB43" s="64"/>
      <c r="AC43" s="64"/>
      <c r="AD43" s="64"/>
      <c r="AE43" s="64"/>
      <c r="AF43" s="64"/>
      <c r="AG43" s="64"/>
      <c r="AH43" s="64"/>
      <c r="AI43" s="64"/>
      <c r="AJ43" s="64"/>
      <c r="AK43" s="64"/>
      <c r="AL43" s="64"/>
      <c r="AM43" s="64"/>
      <c r="AN43" s="64"/>
      <c r="AO43" s="64"/>
      <c r="AP43" s="64"/>
      <c r="AQ43" s="64"/>
      <c r="AR43" s="64"/>
      <c r="AS43" s="64"/>
      <c r="AT43" s="64"/>
      <c r="AU43" s="64"/>
      <c r="AV43" s="64"/>
      <c r="AW43" s="64"/>
      <c r="AX43" s="64"/>
      <c r="AY43" s="64"/>
      <c r="AZ43" s="64"/>
      <c r="BA43" s="64"/>
      <c r="BB43" s="64"/>
      <c r="BC43" s="64"/>
      <c r="BD43" s="64"/>
      <c r="BE43" s="64"/>
      <c r="BF43" s="64"/>
      <c r="BG43" s="64"/>
      <c r="BH43" s="64"/>
      <c r="BI43" s="64"/>
      <c r="BJ43" s="64"/>
      <c r="BK43" s="64"/>
      <c r="BL43" s="64"/>
      <c r="BM43" s="64"/>
      <c r="BN43" s="64"/>
      <c r="BO43" s="64"/>
      <c r="BP43" s="64"/>
      <c r="BQ43" s="64"/>
      <c r="BR43" s="64"/>
      <c r="BS43" s="64"/>
      <c r="BT43" s="64"/>
      <c r="BU43" s="64"/>
      <c r="BV43" s="64"/>
      <c r="BW43" s="64"/>
      <c r="BX43" s="64"/>
      <c r="BY43" s="64"/>
      <c r="BZ43" s="64"/>
      <c r="CA43" s="64"/>
      <c r="CB43" s="64"/>
      <c r="CC43" s="64"/>
      <c r="CD43" s="64"/>
      <c r="CE43" s="64"/>
      <c r="CF43" s="64"/>
      <c r="CG43" s="64"/>
      <c r="CH43" s="64"/>
      <c r="CI43" s="64"/>
      <c r="CJ43" s="64"/>
      <c r="CK43" s="64"/>
      <c r="CL43" s="64"/>
      <c r="CM43" s="64"/>
      <c r="CN43" s="64"/>
      <c r="CO43" s="64"/>
      <c r="CP43" s="64"/>
      <c r="CQ43" s="64"/>
      <c r="CR43" s="64"/>
      <c r="CS43" s="64"/>
      <c r="CT43" s="64"/>
      <c r="CU43" s="64"/>
      <c r="CV43" s="64"/>
      <c r="CW43" s="64"/>
      <c r="CX43" s="64"/>
      <c r="CY43" s="64"/>
      <c r="CZ43" s="64"/>
      <c r="DA43" s="64"/>
      <c r="DB43" s="64"/>
      <c r="DC43" s="64"/>
      <c r="DD43" s="64"/>
      <c r="DE43" s="64"/>
      <c r="DF43" s="64"/>
      <c r="DG43" s="64"/>
      <c r="DH43" s="64"/>
    </row>
    <row r="44" spans="1:112" ht="98.1" customHeight="1" x14ac:dyDescent="0.25">
      <c r="D44" s="69"/>
      <c r="E44" s="216" t="s">
        <v>66</v>
      </c>
      <c r="F44" s="217"/>
      <c r="G44" s="217"/>
      <c r="H44" s="217"/>
      <c r="I44" s="217"/>
      <c r="J44" s="217"/>
      <c r="K44" s="217"/>
      <c r="L44" s="217"/>
      <c r="M44" s="217"/>
      <c r="N44" s="217"/>
      <c r="O44" s="69"/>
      <c r="P44" s="69"/>
      <c r="Q44" s="69"/>
      <c r="R44" s="229"/>
      <c r="S44" s="229"/>
      <c r="T44" s="229"/>
      <c r="U44" s="229"/>
      <c r="V44" s="215"/>
    </row>
    <row r="45" spans="1:112" ht="15.75" customHeight="1" x14ac:dyDescent="0.25">
      <c r="A45" s="9" t="str">
        <f>IF(IF($A$27="0-5 Maanden",VLOOKUP($D39,'0-5 maanden'!$A$5:$H$48,$A$30,0),IF($A$27="6-11 Maanden",VLOOKUP($D39,'nutr demand all ages'!$B$87:$I$130,$A$30,0),IF($A$27="1-3 Jaar",VLOOKUP($D39,'1-3 jaar'!$A$5:$H$48,$A$30,0),IF($A$27="4-8 Jaar",VLOOKUP($D39,' 4-8 jaar'!$A$5:$H$50,$A$30,0),IF($A$27="9-13 Jaar",VLOOKUP($D39,'9-13 jaar'!$A$5:$H$48,$A$30,0),IF($A$27="14-18 Jaar",VLOOKUP($D39,'14-18 jaar'!$A$5:$H$48,$A$30,0),""))))))=0,"",IF($A$27="0-5 Maanden",VLOOKUP($D39,'0-5 maanden'!$A$5:$H$48,$A$30,0),IF($A$27="6-11 Maanden",VLOOKUP($D39,'nutr demand all ages'!$B$87:$I$130,$A$30,0),IF($A$27="1-3 Jaar",VLOOKUP($D39,'1-3 jaar'!$A$5:$H$48,$A$30,0),IF($A$27="4-8 Jaar",VLOOKUP($D39,' 4-8 jaar'!$A$5:$H$50,$A$30,0),IF($A$27="9-13 Jaar",VLOOKUP($D39,'9-13 jaar'!$A$5:$H$48,$A$30,0),IF($A$27="14-18 Jaar",VLOOKUP($D39,'14-18 jaar'!$A$5:$H$48,$A$30,0),"")))))))</f>
        <v/>
      </c>
      <c r="M45" s="17"/>
    </row>
    <row r="46" spans="1:112" ht="51" customHeight="1" x14ac:dyDescent="0.25">
      <c r="M46" s="17"/>
    </row>
    <row r="47" spans="1:112" x14ac:dyDescent="0.25">
      <c r="D47" s="109"/>
      <c r="E47" s="109"/>
      <c r="F47" s="109"/>
      <c r="M47" s="17"/>
    </row>
    <row r="48" spans="1:112" ht="12.9" customHeight="1" x14ac:dyDescent="0.25">
      <c r="D48" s="109"/>
      <c r="E48" s="109"/>
      <c r="F48" s="109"/>
      <c r="G48" s="70"/>
      <c r="H48" s="70"/>
      <c r="I48" s="70"/>
      <c r="J48" s="70"/>
      <c r="K48" s="70"/>
      <c r="L48" s="70"/>
      <c r="M48" s="70"/>
      <c r="N48" s="70"/>
      <c r="O48" s="70"/>
      <c r="P48" s="70"/>
      <c r="Q48" s="70"/>
      <c r="R48" s="70"/>
      <c r="S48" s="70"/>
      <c r="T48" s="70"/>
      <c r="U48" s="70"/>
    </row>
    <row r="49" spans="4:21" ht="12.9" customHeight="1" x14ac:dyDescent="0.25">
      <c r="D49" s="109"/>
      <c r="E49" s="109"/>
      <c r="F49" s="109"/>
      <c r="G49" s="70"/>
      <c r="H49" s="70"/>
      <c r="I49" s="70"/>
      <c r="J49" s="70"/>
      <c r="K49" s="70"/>
      <c r="L49" s="70"/>
      <c r="M49" s="70"/>
      <c r="N49" s="70"/>
      <c r="O49" s="70"/>
      <c r="P49" s="70"/>
      <c r="Q49" s="70"/>
      <c r="R49" s="70"/>
      <c r="S49" s="70"/>
      <c r="T49" s="70"/>
      <c r="U49" s="70"/>
    </row>
    <row r="50" spans="4:21" ht="12.9" customHeight="1" x14ac:dyDescent="0.25">
      <c r="D50" s="109"/>
      <c r="E50" s="109"/>
      <c r="F50" s="109"/>
      <c r="G50" s="71"/>
      <c r="H50" s="71"/>
      <c r="I50" s="71"/>
      <c r="J50" s="71"/>
      <c r="K50" s="71"/>
      <c r="L50" s="71"/>
      <c r="M50" s="71"/>
      <c r="N50" s="71"/>
      <c r="O50" s="71"/>
      <c r="P50" s="71"/>
      <c r="Q50" s="71"/>
      <c r="R50" s="71"/>
      <c r="S50" s="71"/>
      <c r="T50" s="71"/>
      <c r="U50" s="71"/>
    </row>
    <row r="51" spans="4:21" ht="12.9" customHeight="1" x14ac:dyDescent="0.25">
      <c r="D51" s="109"/>
      <c r="E51" s="109"/>
      <c r="F51" s="109"/>
      <c r="G51" s="71"/>
      <c r="H51" s="71"/>
      <c r="I51" s="71"/>
      <c r="J51" s="71"/>
      <c r="K51" s="71"/>
      <c r="L51" s="71"/>
      <c r="M51" s="71"/>
      <c r="N51" s="71"/>
      <c r="O51" s="71"/>
      <c r="P51" s="71"/>
      <c r="Q51" s="71"/>
      <c r="R51" s="71"/>
      <c r="S51" s="71"/>
      <c r="T51" s="71"/>
      <c r="U51" s="71"/>
    </row>
    <row r="52" spans="4:21" ht="12.9" customHeight="1" x14ac:dyDescent="0.25">
      <c r="D52" s="109"/>
      <c r="E52" s="109"/>
      <c r="F52" s="109"/>
      <c r="G52" s="70"/>
      <c r="H52" s="70"/>
      <c r="I52" s="70"/>
      <c r="J52" s="70"/>
      <c r="K52" s="70"/>
      <c r="L52" s="70"/>
      <c r="M52" s="70"/>
      <c r="N52" s="70"/>
      <c r="O52" s="70"/>
      <c r="P52" s="70"/>
      <c r="Q52" s="70"/>
      <c r="R52" s="70"/>
      <c r="S52" s="70"/>
      <c r="T52" s="70"/>
      <c r="U52" s="70"/>
    </row>
    <row r="53" spans="4:21" ht="12.9" customHeight="1" x14ac:dyDescent="0.25">
      <c r="D53" s="109"/>
      <c r="E53" s="109"/>
      <c r="F53" s="109"/>
      <c r="G53" s="70"/>
      <c r="H53" s="70"/>
      <c r="I53" s="70"/>
      <c r="J53" s="70"/>
      <c r="K53" s="70"/>
      <c r="L53" s="70"/>
      <c r="M53" s="70"/>
      <c r="N53" s="70"/>
      <c r="O53" s="70"/>
      <c r="P53" s="70"/>
      <c r="Q53" s="70"/>
      <c r="R53" s="70"/>
      <c r="S53" s="70"/>
      <c r="T53" s="70"/>
      <c r="U53" s="70"/>
    </row>
    <row r="54" spans="4:21" ht="12.9" customHeight="1" x14ac:dyDescent="0.25">
      <c r="D54" s="109"/>
      <c r="E54" s="109"/>
      <c r="F54" s="109"/>
      <c r="G54" s="70"/>
      <c r="H54" s="70"/>
      <c r="I54" s="70"/>
      <c r="J54" s="70"/>
      <c r="K54" s="70"/>
      <c r="L54" s="70"/>
      <c r="M54" s="70"/>
      <c r="N54" s="70"/>
      <c r="O54" s="70"/>
      <c r="P54" s="70"/>
      <c r="Q54" s="70"/>
      <c r="R54" s="70"/>
      <c r="S54" s="70"/>
      <c r="T54" s="70"/>
      <c r="U54" s="70"/>
    </row>
    <row r="55" spans="4:21" ht="12.9" customHeight="1" x14ac:dyDescent="0.25">
      <c r="D55" s="109"/>
      <c r="E55" s="109"/>
      <c r="F55" s="109"/>
      <c r="G55" s="70"/>
      <c r="H55" s="70"/>
      <c r="I55" s="70"/>
      <c r="J55" s="70"/>
      <c r="K55" s="70"/>
      <c r="L55" s="70"/>
      <c r="M55" s="70"/>
      <c r="N55" s="70"/>
      <c r="O55" s="70"/>
      <c r="P55" s="70"/>
      <c r="Q55" s="70"/>
      <c r="R55" s="70"/>
      <c r="S55" s="70"/>
      <c r="T55" s="70"/>
      <c r="U55" s="70"/>
    </row>
    <row r="56" spans="4:21" x14ac:dyDescent="0.25">
      <c r="D56" s="109"/>
      <c r="E56" s="109"/>
      <c r="F56" s="109"/>
    </row>
    <row r="57" spans="4:21" x14ac:dyDescent="0.25">
      <c r="D57" s="109"/>
      <c r="E57" s="109"/>
      <c r="F57" s="109"/>
    </row>
    <row r="58" spans="4:21" x14ac:dyDescent="0.25">
      <c r="D58" s="109"/>
      <c r="E58" s="109"/>
      <c r="F58" s="109"/>
    </row>
    <row r="59" spans="4:21" x14ac:dyDescent="0.25">
      <c r="D59" s="109"/>
      <c r="E59" s="109"/>
      <c r="F59" s="109"/>
    </row>
    <row r="60" spans="4:21" x14ac:dyDescent="0.25">
      <c r="D60" s="109"/>
      <c r="E60" s="109"/>
      <c r="F60" s="109"/>
    </row>
    <row r="61" spans="4:21" x14ac:dyDescent="0.25">
      <c r="D61" s="109"/>
      <c r="E61" s="109"/>
      <c r="F61" s="109"/>
    </row>
    <row r="62" spans="4:21" x14ac:dyDescent="0.25">
      <c r="D62" s="109"/>
      <c r="E62" s="109"/>
      <c r="F62" s="109"/>
    </row>
    <row r="63" spans="4:21" x14ac:dyDescent="0.25">
      <c r="D63" s="109"/>
      <c r="E63" s="109"/>
      <c r="F63" s="109"/>
    </row>
    <row r="64" spans="4:21" x14ac:dyDescent="0.25">
      <c r="D64" s="109"/>
      <c r="E64" s="109"/>
      <c r="F64" s="109"/>
    </row>
    <row r="75" spans="15:15" x14ac:dyDescent="0.25">
      <c r="O75" s="72"/>
    </row>
    <row r="89" ht="12.75" customHeight="1" x14ac:dyDescent="0.25"/>
  </sheetData>
  <sheetProtection algorithmName="SHA-512" hashValue="UOFR6jYz+AiCMUMRcWau09HNJ0Yd4suDEyBOLo6FL7RcEZIicxM/Rba1sIw3RWyPdt36Zwh439IhwSYLrB0OGg==" saltValue="9xzjyk7Tm544lu0hSGk//g==" spinCount="100000" sheet="1" selectLockedCells="1"/>
  <protectedRanges>
    <protectedRange sqref="F19 G17 D24:L24 D5:J9" name="Range1"/>
  </protectedRanges>
  <mergeCells count="30">
    <mergeCell ref="D1:N1"/>
    <mergeCell ref="D2:U2"/>
    <mergeCell ref="D3:L4"/>
    <mergeCell ref="M3:M29"/>
    <mergeCell ref="T3:U3"/>
    <mergeCell ref="P7:Q7"/>
    <mergeCell ref="R7:T7"/>
    <mergeCell ref="D14:L14"/>
    <mergeCell ref="D15:L15"/>
    <mergeCell ref="D16:L16"/>
    <mergeCell ref="D17:E17"/>
    <mergeCell ref="D27:E27"/>
    <mergeCell ref="T1:U1"/>
    <mergeCell ref="N3:R5"/>
    <mergeCell ref="D5:J9"/>
    <mergeCell ref="R25:T25"/>
    <mergeCell ref="K5:L9"/>
    <mergeCell ref="I17:J17"/>
    <mergeCell ref="K17:L17"/>
    <mergeCell ref="D24:L24"/>
    <mergeCell ref="D10:L13"/>
    <mergeCell ref="V31:V44"/>
    <mergeCell ref="E44:N44"/>
    <mergeCell ref="D18:E19"/>
    <mergeCell ref="D21:L23"/>
    <mergeCell ref="R44:U44"/>
    <mergeCell ref="I27:K27"/>
    <mergeCell ref="G27:H27"/>
    <mergeCell ref="P25:Q25"/>
    <mergeCell ref="F25:G25"/>
  </mergeCells>
  <conditionalFormatting sqref="F19 D18">
    <cfRule type="expression" dxfId="1" priority="2" stopIfTrue="1">
      <formula>ISNAK($A$21)</formula>
    </cfRule>
  </conditionalFormatting>
  <conditionalFormatting sqref="H25">
    <cfRule type="expression" dxfId="0" priority="1">
      <formula>ISNA($A$26)</formula>
    </cfRule>
  </conditionalFormatting>
  <printOptions horizontalCentered="1" verticalCentered="1"/>
  <pageMargins left="0" right="0" top="0.47244094488188976" bottom="0.47244094488188976" header="0.15748031496062992" footer="0.15748031496062992"/>
  <pageSetup paperSize="9" scale="63" orientation="landscape" r:id="rId1"/>
  <headerFooter>
    <oddHeader xml:space="preserve">&amp;C
</oddHeader>
    <oddFooter>&amp;CDe hoeveelheid en concentratie van de voeding moet door een arts of diëtist worden vastgesteld en is afhankelijk van leeftijd, gewicht en medische conditie van de patiënt.</oddFooter>
  </headerFooter>
  <drawing r:id="rId2"/>
  <legacyDrawing r:id="rId3"/>
  <extLst>
    <ext xmlns:x14="http://schemas.microsoft.com/office/spreadsheetml/2009/9/main" uri="{CCE6A557-97BC-4b89-ADB6-D9C93CAAB3DF}">
      <x14:dataValidations xmlns:xm="http://schemas.microsoft.com/office/excel/2006/main" count="3">
        <x14:dataValidation type="list" allowBlank="1" showInputMessage="1" showErrorMessage="1" xr:uid="{00000000-0002-0000-0000-000001000000}">
          <x14:formula1>
            <xm:f>List_Validations_Cross_Ref!$F$2:$F$13</xm:f>
          </x14:formula1>
          <xm:sqref>D24:L24</xm:sqref>
        </x14:dataValidation>
        <x14:dataValidation type="list" allowBlank="1" showErrorMessage="1" errorTitle="Error" error="This is not a free-text field - Please use the drop-down menu." promptTitle="Product" prompt="Please use drop-down list to select an available Nutricia product." xr:uid="{00000000-0002-0000-0000-000002000000}">
          <x14:formula1>
            <xm:f>List_Validations_Cross_Ref!$A$17:$A$20</xm:f>
          </x14:formula1>
          <xm:sqref>D5:J9</xm:sqref>
        </x14:dataValidation>
        <x14:dataValidation type="list" showInputMessage="1" showErrorMessage="1" xr:uid="{00000000-0002-0000-0000-000000000000}">
          <x14:formula1>
            <xm:f>List_Validations_Cross_Ref!$A$2:$A8</xm:f>
          </x14:formula1>
          <xm:sqref>F19</xm:sqref>
        </x14:dataValidation>
      </x14:dataValidations>
    </ext>
    <ext xmlns:mx="http://schemas.microsoft.com/office/mac/excel/2008/main" uri="{64002731-A6B0-56B0-2670-7721B7C09600}">
      <mx:PLV Mode="0" OnePage="0" WScale="0"/>
    </ext>
  </extLst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B00-000000000000}">
  <sheetPr codeName="Sheet10"/>
  <dimension ref="A1:K42"/>
  <sheetViews>
    <sheetView zoomScale="80" zoomScaleNormal="80" zoomScalePageLayoutView="150" workbookViewId="0">
      <selection activeCell="A9" sqref="A9"/>
    </sheetView>
  </sheetViews>
  <sheetFormatPr defaultColWidth="8.88671875" defaultRowHeight="13.8" x14ac:dyDescent="0.25"/>
  <cols>
    <col min="1" max="1" width="42" style="16" customWidth="1"/>
    <col min="2" max="2" width="17.5546875" style="16" customWidth="1"/>
    <col min="3" max="3" width="12.44140625" style="16" customWidth="1"/>
    <col min="4" max="4" width="11.33203125" style="16" customWidth="1"/>
    <col min="5" max="5" width="16.109375" style="16" customWidth="1"/>
    <col min="6" max="6" width="27.44140625" style="16" bestFit="1" customWidth="1"/>
    <col min="7" max="7" width="19.109375" style="16" bestFit="1" customWidth="1"/>
    <col min="8" max="10" width="14.44140625" style="16" bestFit="1" customWidth="1"/>
    <col min="11" max="11" width="29.33203125" style="16" bestFit="1" customWidth="1"/>
    <col min="12" max="16384" width="8.88671875" style="16"/>
  </cols>
  <sheetData>
    <row r="1" spans="1:9" x14ac:dyDescent="0.25">
      <c r="A1" s="123" t="s">
        <v>67</v>
      </c>
      <c r="D1" s="123" t="s">
        <v>68</v>
      </c>
      <c r="E1" s="123"/>
      <c r="F1" s="123"/>
      <c r="G1" s="123"/>
    </row>
    <row r="2" spans="1:9" ht="14.4" x14ac:dyDescent="0.3">
      <c r="A2"/>
      <c r="D2" s="16" t="s">
        <v>69</v>
      </c>
      <c r="E2" s="16" t="s">
        <v>70</v>
      </c>
      <c r="F2" s="16" t="str">
        <f xml:space="preserve"> CONCATENATE(D2," ",E2)</f>
        <v>Meisje 0-5 maanden</v>
      </c>
      <c r="G2" s="16" t="s">
        <v>71</v>
      </c>
    </row>
    <row r="3" spans="1:9" ht="14.4" x14ac:dyDescent="0.3">
      <c r="A3" t="s">
        <v>72</v>
      </c>
      <c r="B3" s="16">
        <v>1</v>
      </c>
      <c r="D3" s="16" t="s">
        <v>73</v>
      </c>
      <c r="E3" s="16" t="s">
        <v>70</v>
      </c>
      <c r="F3" s="16" t="str">
        <f t="shared" ref="F3:F6" si="0" xml:space="preserve"> CONCATENATE(D3," ",E3)</f>
        <v>Jongen 0-5 maanden</v>
      </c>
      <c r="G3" s="16" t="s">
        <v>71</v>
      </c>
    </row>
    <row r="4" spans="1:9" ht="14.4" x14ac:dyDescent="0.3">
      <c r="A4" t="s">
        <v>74</v>
      </c>
      <c r="B4" s="16">
        <v>1</v>
      </c>
      <c r="D4" s="16" t="s">
        <v>69</v>
      </c>
      <c r="E4" s="16" t="s">
        <v>75</v>
      </c>
      <c r="F4" s="16" t="str">
        <f t="shared" si="0"/>
        <v>Meisje 6-11 maanden</v>
      </c>
      <c r="G4" s="16" t="s">
        <v>76</v>
      </c>
    </row>
    <row r="5" spans="1:9" ht="14.4" x14ac:dyDescent="0.3">
      <c r="A5" t="s">
        <v>77</v>
      </c>
      <c r="B5" s="16">
        <v>1</v>
      </c>
      <c r="D5" s="16" t="s">
        <v>73</v>
      </c>
      <c r="E5" s="16" t="s">
        <v>75</v>
      </c>
      <c r="F5" s="16" t="str">
        <f t="shared" si="0"/>
        <v>Jongen 6-11 maanden</v>
      </c>
      <c r="G5" s="16" t="s">
        <v>76</v>
      </c>
    </row>
    <row r="6" spans="1:9" ht="14.4" x14ac:dyDescent="0.3">
      <c r="A6" t="s">
        <v>21</v>
      </c>
      <c r="D6" s="16" t="s">
        <v>69</v>
      </c>
      <c r="E6" s="16" t="s">
        <v>78</v>
      </c>
      <c r="F6" s="16" t="str">
        <f t="shared" si="0"/>
        <v>Meisje 12-18 maanden</v>
      </c>
      <c r="G6" s="16" t="s">
        <v>79</v>
      </c>
    </row>
    <row r="7" spans="1:9" ht="14.4" x14ac:dyDescent="0.3">
      <c r="A7" t="s">
        <v>80</v>
      </c>
      <c r="B7" s="16">
        <v>1</v>
      </c>
      <c r="D7" s="16" t="s">
        <v>73</v>
      </c>
      <c r="E7" s="16" t="s">
        <v>78</v>
      </c>
      <c r="F7" s="16" t="str">
        <f t="shared" ref="F7" si="1" xml:space="preserve"> CONCATENATE(D7," ",E7)</f>
        <v>Jongen 12-18 maanden</v>
      </c>
      <c r="G7" s="16" t="s">
        <v>79</v>
      </c>
    </row>
    <row r="8" spans="1:9" ht="14.4" x14ac:dyDescent="0.3">
      <c r="A8" t="s">
        <v>81</v>
      </c>
      <c r="B8" s="16">
        <v>1</v>
      </c>
    </row>
    <row r="10" spans="1:9" ht="14.4" x14ac:dyDescent="0.3">
      <c r="A10"/>
    </row>
    <row r="11" spans="1:9" ht="14.4" x14ac:dyDescent="0.3">
      <c r="A11"/>
    </row>
    <row r="16" spans="1:9" x14ac:dyDescent="0.25">
      <c r="A16" s="123" t="s">
        <v>82</v>
      </c>
      <c r="B16" s="123"/>
      <c r="C16" s="123"/>
      <c r="D16" s="123"/>
      <c r="E16" s="123"/>
      <c r="F16" s="123"/>
      <c r="G16" s="123"/>
      <c r="H16" s="123"/>
      <c r="I16" s="123"/>
    </row>
    <row r="17" spans="1:11" x14ac:dyDescent="0.25">
      <c r="A17" s="16" t="s">
        <v>4</v>
      </c>
      <c r="B17" s="16" t="s">
        <v>83</v>
      </c>
    </row>
    <row r="18" spans="1:11" x14ac:dyDescent="0.25">
      <c r="A18" s="16" t="s">
        <v>84</v>
      </c>
      <c r="B18" s="16" t="s">
        <v>85</v>
      </c>
    </row>
    <row r="19" spans="1:11" x14ac:dyDescent="0.25">
      <c r="A19" s="16" t="s">
        <v>86</v>
      </c>
      <c r="B19" s="16" t="s">
        <v>85</v>
      </c>
    </row>
    <row r="20" spans="1:11" x14ac:dyDescent="0.25">
      <c r="A20" s="16" t="s">
        <v>87</v>
      </c>
      <c r="B20" s="16" t="s">
        <v>85</v>
      </c>
    </row>
    <row r="26" spans="1:11" ht="18" customHeight="1" x14ac:dyDescent="0.25">
      <c r="A26" s="123" t="s">
        <v>88</v>
      </c>
      <c r="B26" s="123"/>
    </row>
    <row r="27" spans="1:11" ht="81.75" customHeight="1" x14ac:dyDescent="0.25">
      <c r="A27" s="16" t="s">
        <v>87</v>
      </c>
      <c r="B27" s="109"/>
      <c r="F27" s="65"/>
      <c r="J27" s="64"/>
      <c r="K27" s="66"/>
    </row>
    <row r="28" spans="1:11" ht="81.75" customHeight="1" x14ac:dyDescent="0.25">
      <c r="A28" s="16" t="s">
        <v>86</v>
      </c>
      <c r="E28" s="117"/>
      <c r="F28" s="127"/>
    </row>
    <row r="29" spans="1:11" ht="81.75" customHeight="1" x14ac:dyDescent="0.25">
      <c r="A29" s="16" t="s">
        <v>84</v>
      </c>
    </row>
    <row r="30" spans="1:11" ht="81.75" customHeight="1" x14ac:dyDescent="0.25">
      <c r="A30" s="16" t="s">
        <v>89</v>
      </c>
    </row>
    <row r="31" spans="1:11" ht="75.75" customHeight="1" x14ac:dyDescent="0.25"/>
    <row r="38" spans="1:6" ht="120" customHeight="1" x14ac:dyDescent="0.25">
      <c r="A38" s="16" t="s">
        <v>90</v>
      </c>
      <c r="B38" s="109"/>
      <c r="C38" s="16" t="str">
        <f>A38</f>
        <v>Infatrini poeder</v>
      </c>
      <c r="F38" s="127"/>
    </row>
    <row r="39" spans="1:6" ht="120" customHeight="1" x14ac:dyDescent="0.25">
      <c r="A39" s="16" t="s">
        <v>86</v>
      </c>
      <c r="C39" s="16" t="str">
        <f>A39</f>
        <v>Infatrini 200ml</v>
      </c>
    </row>
    <row r="40" spans="1:6" ht="120" customHeight="1" x14ac:dyDescent="0.25">
      <c r="A40" s="16" t="s">
        <v>84</v>
      </c>
      <c r="C40" s="16" t="str">
        <f>A40</f>
        <v>Infatrini 125ml</v>
      </c>
    </row>
    <row r="41" spans="1:6" ht="120" customHeight="1" x14ac:dyDescent="0.25">
      <c r="A41" s="16" t="s">
        <v>87</v>
      </c>
      <c r="C41" s="16" t="str">
        <f>A41</f>
        <v>Infatrini peptisorb</v>
      </c>
    </row>
    <row r="42" spans="1:6" x14ac:dyDescent="0.25">
      <c r="A42" s="16" t="s">
        <v>91</v>
      </c>
    </row>
  </sheetData>
  <pageMargins left="0.7" right="0.7" top="0.75" bottom="0.75" header="0.3" footer="0.3"/>
  <pageSetup paperSize="9" orientation="portrait" r:id="rId1"/>
  <drawing r:id="rId2"/>
  <extLst>
    <ext xmlns:mx="http://schemas.microsoft.com/office/mac/excel/2008/main" uri="{64002731-A6B0-56B0-2670-7721B7C09600}">
      <mx:PLV Mode="0" OnePage="0" WScale="0"/>
    </ext>
  </extLst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sheetPr codeName="Sheet2"/>
  <dimension ref="A1:C47"/>
  <sheetViews>
    <sheetView topLeftCell="A13" workbookViewId="0">
      <selection sqref="A1:C47"/>
    </sheetView>
  </sheetViews>
  <sheetFormatPr defaultColWidth="8.88671875" defaultRowHeight="13.8" x14ac:dyDescent="0.25"/>
  <cols>
    <col min="1" max="1" width="19.88671875" style="16" bestFit="1" customWidth="1"/>
    <col min="2" max="2" width="8.88671875" style="16"/>
    <col min="3" max="3" width="9.44140625" style="16" bestFit="1" customWidth="1"/>
    <col min="4" max="16384" width="8.88671875" style="16"/>
  </cols>
  <sheetData>
    <row r="1" spans="1:3" ht="15" x14ac:dyDescent="0.25">
      <c r="A1" s="18" t="s">
        <v>92</v>
      </c>
      <c r="B1" s="18" t="s">
        <v>93</v>
      </c>
      <c r="C1" s="18" t="s">
        <v>94</v>
      </c>
    </row>
    <row r="2" spans="1:3" x14ac:dyDescent="0.25">
      <c r="A2" s="19" t="s">
        <v>35</v>
      </c>
      <c r="B2" s="16">
        <v>483</v>
      </c>
      <c r="C2" s="16" t="s">
        <v>95</v>
      </c>
    </row>
    <row r="3" spans="1:3" x14ac:dyDescent="0.25">
      <c r="A3" s="19" t="s">
        <v>96</v>
      </c>
      <c r="B3" s="16">
        <v>13</v>
      </c>
      <c r="C3" s="16" t="s">
        <v>97</v>
      </c>
    </row>
    <row r="4" spans="1:3" x14ac:dyDescent="0.25">
      <c r="A4" s="19" t="s">
        <v>39</v>
      </c>
      <c r="B4" s="16">
        <v>24.5</v>
      </c>
      <c r="C4" s="16" t="s">
        <v>97</v>
      </c>
    </row>
    <row r="5" spans="1:3" x14ac:dyDescent="0.25">
      <c r="A5" s="19" t="s">
        <v>98</v>
      </c>
    </row>
    <row r="6" spans="1:3" x14ac:dyDescent="0.25">
      <c r="A6" s="19" t="s">
        <v>41</v>
      </c>
      <c r="B6" s="16">
        <v>0.9</v>
      </c>
      <c r="C6" s="16" t="s">
        <v>97</v>
      </c>
    </row>
    <row r="7" spans="1:3" x14ac:dyDescent="0.25">
      <c r="A7" s="19" t="s">
        <v>44</v>
      </c>
      <c r="B7" s="16">
        <v>4.194</v>
      </c>
      <c r="C7" s="16" t="s">
        <v>97</v>
      </c>
    </row>
    <row r="8" spans="1:3" x14ac:dyDescent="0.25">
      <c r="A8" s="19" t="s">
        <v>46</v>
      </c>
      <c r="B8" s="16">
        <v>0.41899999999999998</v>
      </c>
      <c r="C8" s="16" t="s">
        <v>97</v>
      </c>
    </row>
    <row r="9" spans="1:3" x14ac:dyDescent="0.25">
      <c r="A9" s="19" t="s">
        <v>48</v>
      </c>
      <c r="B9" s="16">
        <v>81.599999999999994</v>
      </c>
      <c r="C9" s="16" t="s">
        <v>26</v>
      </c>
    </row>
    <row r="10" spans="1:3" x14ac:dyDescent="0.25">
      <c r="A10" s="19" t="s">
        <v>50</v>
      </c>
      <c r="B10" s="16">
        <v>81.599999999999994</v>
      </c>
      <c r="C10" s="16" t="s">
        <v>26</v>
      </c>
    </row>
    <row r="11" spans="1:3" x14ac:dyDescent="0.25">
      <c r="A11" s="19" t="s">
        <v>52</v>
      </c>
      <c r="B11" s="16">
        <v>52.5</v>
      </c>
      <c r="C11" s="16" t="s">
        <v>97</v>
      </c>
    </row>
    <row r="12" spans="1:3" x14ac:dyDescent="0.25">
      <c r="A12" s="19" t="s">
        <v>54</v>
      </c>
    </row>
    <row r="13" spans="1:3" x14ac:dyDescent="0.25">
      <c r="A13" s="16" t="s">
        <v>56</v>
      </c>
    </row>
    <row r="14" spans="1:3" x14ac:dyDescent="0.25">
      <c r="A14" s="19"/>
    </row>
    <row r="16" spans="1:3" ht="15" x14ac:dyDescent="0.25">
      <c r="A16" s="20" t="s">
        <v>99</v>
      </c>
      <c r="B16" s="20"/>
      <c r="C16" s="20"/>
    </row>
    <row r="17" spans="1:3" x14ac:dyDescent="0.25">
      <c r="A17" s="16" t="s">
        <v>7</v>
      </c>
      <c r="B17" s="16">
        <v>406</v>
      </c>
      <c r="C17" s="16" t="s">
        <v>100</v>
      </c>
    </row>
    <row r="18" spans="1:3" x14ac:dyDescent="0.25">
      <c r="A18" s="16" t="s">
        <v>8</v>
      </c>
      <c r="B18" s="16">
        <v>8.8000000000000007</v>
      </c>
      <c r="C18" s="16" t="s">
        <v>101</v>
      </c>
    </row>
    <row r="19" spans="1:3" x14ac:dyDescent="0.25">
      <c r="A19" s="16" t="s">
        <v>9</v>
      </c>
      <c r="B19" s="16">
        <v>4.8</v>
      </c>
      <c r="C19" s="16" t="s">
        <v>102</v>
      </c>
    </row>
    <row r="20" spans="1:3" x14ac:dyDescent="0.25">
      <c r="A20" s="16" t="s">
        <v>10</v>
      </c>
      <c r="B20" s="16">
        <v>42.5</v>
      </c>
      <c r="C20" s="16" t="s">
        <v>101</v>
      </c>
    </row>
    <row r="21" spans="1:3" x14ac:dyDescent="0.25">
      <c r="A21" s="16" t="s">
        <v>103</v>
      </c>
      <c r="B21" s="16">
        <v>0.54</v>
      </c>
      <c r="C21" s="16" t="s">
        <v>26</v>
      </c>
    </row>
    <row r="22" spans="1:3" x14ac:dyDescent="0.25">
      <c r="A22" s="16" t="s">
        <v>104</v>
      </c>
      <c r="B22" s="16">
        <v>0.54</v>
      </c>
      <c r="C22" s="16" t="s">
        <v>26</v>
      </c>
    </row>
    <row r="23" spans="1:3" x14ac:dyDescent="0.25">
      <c r="A23" s="16" t="s">
        <v>14</v>
      </c>
      <c r="B23" s="16">
        <v>0.54</v>
      </c>
      <c r="C23" s="16" t="s">
        <v>26</v>
      </c>
    </row>
    <row r="24" spans="1:3" x14ac:dyDescent="0.25">
      <c r="A24" s="16" t="s">
        <v>15</v>
      </c>
      <c r="B24" s="16">
        <v>1.3</v>
      </c>
      <c r="C24" s="16" t="s">
        <v>101</v>
      </c>
    </row>
    <row r="25" spans="1:3" x14ac:dyDescent="0.25">
      <c r="A25" s="16" t="s">
        <v>105</v>
      </c>
      <c r="B25" s="16">
        <v>10.199999999999999</v>
      </c>
      <c r="C25" s="16" t="s">
        <v>106</v>
      </c>
    </row>
    <row r="26" spans="1:3" x14ac:dyDescent="0.25">
      <c r="A26" s="16" t="s">
        <v>107</v>
      </c>
      <c r="B26" s="16">
        <v>64</v>
      </c>
      <c r="C26" s="16" t="s">
        <v>101</v>
      </c>
    </row>
    <row r="27" spans="1:3" x14ac:dyDescent="0.25">
      <c r="A27" s="16" t="s">
        <v>108</v>
      </c>
      <c r="B27" s="16">
        <v>2.9</v>
      </c>
      <c r="C27" s="16" t="s">
        <v>26</v>
      </c>
    </row>
    <row r="28" spans="1:3" x14ac:dyDescent="0.25">
      <c r="A28" s="16" t="s">
        <v>109</v>
      </c>
      <c r="B28" s="16">
        <v>19</v>
      </c>
      <c r="C28" s="16" t="s">
        <v>101</v>
      </c>
    </row>
    <row r="29" spans="1:3" x14ac:dyDescent="0.25">
      <c r="A29" s="16" t="s">
        <v>23</v>
      </c>
      <c r="B29" s="16">
        <v>51.6</v>
      </c>
      <c r="C29" s="16" t="s">
        <v>26</v>
      </c>
    </row>
    <row r="30" spans="1:3" x14ac:dyDescent="0.25">
      <c r="A30" s="16" t="s">
        <v>110</v>
      </c>
      <c r="B30" s="16">
        <v>95.4</v>
      </c>
      <c r="C30" s="16" t="s">
        <v>26</v>
      </c>
    </row>
    <row r="31" spans="1:3" x14ac:dyDescent="0.25">
      <c r="A31" s="16" t="s">
        <v>111</v>
      </c>
      <c r="B31" s="16">
        <v>108</v>
      </c>
      <c r="C31" s="16" t="s">
        <v>26</v>
      </c>
    </row>
    <row r="33" spans="1:3" ht="15" x14ac:dyDescent="0.25">
      <c r="A33" s="21" t="s">
        <v>112</v>
      </c>
      <c r="B33" s="22"/>
      <c r="C33" s="22"/>
    </row>
    <row r="34" spans="1:3" x14ac:dyDescent="0.25">
      <c r="A34" s="16" t="s">
        <v>32</v>
      </c>
      <c r="B34" s="16">
        <v>475</v>
      </c>
      <c r="C34" s="16" t="s">
        <v>26</v>
      </c>
    </row>
    <row r="35" spans="1:3" x14ac:dyDescent="0.25">
      <c r="A35" s="16" t="s">
        <v>34</v>
      </c>
      <c r="B35" s="16">
        <v>341</v>
      </c>
      <c r="C35" s="16" t="s">
        <v>26</v>
      </c>
    </row>
    <row r="36" spans="1:3" x14ac:dyDescent="0.25">
      <c r="A36" s="16" t="s">
        <v>36</v>
      </c>
      <c r="B36" s="16">
        <v>51</v>
      </c>
      <c r="C36" s="16" t="s">
        <v>26</v>
      </c>
    </row>
    <row r="37" spans="1:3" x14ac:dyDescent="0.25">
      <c r="A37" s="16" t="s">
        <v>38</v>
      </c>
      <c r="B37" s="16">
        <v>7.3</v>
      </c>
      <c r="C37" s="16" t="s">
        <v>26</v>
      </c>
    </row>
    <row r="38" spans="1:3" x14ac:dyDescent="0.25">
      <c r="A38" s="16" t="s">
        <v>40</v>
      </c>
      <c r="B38" s="16">
        <v>5.3</v>
      </c>
      <c r="C38" s="16" t="s">
        <v>26</v>
      </c>
    </row>
    <row r="39" spans="1:3" x14ac:dyDescent="0.25">
      <c r="A39" s="16" t="s">
        <v>42</v>
      </c>
      <c r="B39" s="16">
        <v>0.2</v>
      </c>
      <c r="C39" s="16" t="s">
        <v>26</v>
      </c>
    </row>
    <row r="40" spans="1:3" x14ac:dyDescent="0.25">
      <c r="A40" s="16" t="s">
        <v>45</v>
      </c>
      <c r="B40" s="16">
        <v>0.41</v>
      </c>
      <c r="C40" s="16" t="s">
        <v>26</v>
      </c>
    </row>
    <row r="41" spans="1:3" x14ac:dyDescent="0.25">
      <c r="A41" s="16" t="s">
        <v>47</v>
      </c>
      <c r="B41" s="16">
        <v>100</v>
      </c>
      <c r="C41" s="16" t="s">
        <v>101</v>
      </c>
    </row>
    <row r="42" spans="1:3" x14ac:dyDescent="0.25">
      <c r="A42" s="16" t="s">
        <v>49</v>
      </c>
      <c r="B42" s="16">
        <v>11.3</v>
      </c>
      <c r="C42" s="16" t="s">
        <v>101</v>
      </c>
    </row>
    <row r="43" spans="1:3" x14ac:dyDescent="0.25">
      <c r="A43" s="16" t="s">
        <v>51</v>
      </c>
      <c r="B43" s="16">
        <v>10.6</v>
      </c>
      <c r="C43" s="16" t="s">
        <v>101</v>
      </c>
    </row>
    <row r="44" spans="1:3" x14ac:dyDescent="0.25">
      <c r="A44" s="16" t="s">
        <v>53</v>
      </c>
      <c r="B44" s="16">
        <v>14.5</v>
      </c>
      <c r="C44" s="16" t="s">
        <v>101</v>
      </c>
    </row>
    <row r="45" spans="1:3" x14ac:dyDescent="0.25">
      <c r="A45" s="16" t="s">
        <v>55</v>
      </c>
      <c r="B45" s="16">
        <v>189</v>
      </c>
      <c r="C45" s="16" t="s">
        <v>26</v>
      </c>
    </row>
    <row r="46" spans="1:3" x14ac:dyDescent="0.25">
      <c r="A46" s="16" t="s">
        <v>57</v>
      </c>
      <c r="B46" s="16">
        <v>525</v>
      </c>
      <c r="C46" s="16" t="s">
        <v>26</v>
      </c>
    </row>
    <row r="47" spans="1:3" x14ac:dyDescent="0.25">
      <c r="A47" s="16" t="s">
        <v>60</v>
      </c>
      <c r="B47" s="16">
        <v>386</v>
      </c>
      <c r="C47" s="16" t="s">
        <v>26</v>
      </c>
    </row>
  </sheetData>
  <pageMargins left="0.7" right="0.7" top="0.75" bottom="0.75" header="0.3" footer="0.3"/>
  <extLst>
    <ext xmlns:mx="http://schemas.microsoft.com/office/mac/excel/2008/main" uri="{64002731-A6B0-56B0-2670-7721B7C09600}">
      <mx:PLV Mode="0" OnePage="0" WScale="0"/>
    </ext>
  </extLst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sheetPr codeName="Sheet3"/>
  <dimension ref="A1:C47"/>
  <sheetViews>
    <sheetView workbookViewId="0">
      <selection activeCell="B3" sqref="B3:C47"/>
    </sheetView>
  </sheetViews>
  <sheetFormatPr defaultColWidth="8.88671875" defaultRowHeight="13.8" x14ac:dyDescent="0.25"/>
  <cols>
    <col min="1" max="1" width="23" style="16" bestFit="1" customWidth="1"/>
    <col min="2" max="2" width="8.88671875" style="16"/>
    <col min="3" max="3" width="10.33203125" style="16" bestFit="1" customWidth="1"/>
    <col min="4" max="16384" width="8.88671875" style="16"/>
  </cols>
  <sheetData>
    <row r="1" spans="1:3" ht="15" x14ac:dyDescent="0.25">
      <c r="A1" s="18" t="s">
        <v>92</v>
      </c>
      <c r="B1" s="18" t="s">
        <v>93</v>
      </c>
      <c r="C1" s="18" t="s">
        <v>94</v>
      </c>
    </row>
    <row r="2" spans="1:3" x14ac:dyDescent="0.25">
      <c r="A2" s="19" t="s">
        <v>35</v>
      </c>
      <c r="B2" s="16">
        <v>472</v>
      </c>
      <c r="C2" s="16" t="s">
        <v>95</v>
      </c>
    </row>
    <row r="3" spans="1:3" x14ac:dyDescent="0.25">
      <c r="A3" s="19" t="s">
        <v>96</v>
      </c>
      <c r="B3" s="16">
        <v>8.1999999999999993</v>
      </c>
      <c r="C3" s="16" t="s">
        <v>97</v>
      </c>
    </row>
    <row r="4" spans="1:3" x14ac:dyDescent="0.25">
      <c r="A4" s="19" t="s">
        <v>39</v>
      </c>
      <c r="B4" s="16">
        <v>18.8</v>
      </c>
      <c r="C4" s="16" t="s">
        <v>97</v>
      </c>
    </row>
    <row r="5" spans="1:3" x14ac:dyDescent="0.25">
      <c r="A5" s="19" t="s">
        <v>98</v>
      </c>
    </row>
    <row r="6" spans="1:3" x14ac:dyDescent="0.25">
      <c r="A6" s="19" t="s">
        <v>41</v>
      </c>
      <c r="B6" s="16">
        <v>0.68</v>
      </c>
      <c r="C6" s="16" t="s">
        <v>97</v>
      </c>
    </row>
    <row r="7" spans="1:3" x14ac:dyDescent="0.25">
      <c r="A7" s="19" t="s">
        <v>44</v>
      </c>
      <c r="B7" s="16">
        <v>3.22</v>
      </c>
      <c r="C7" s="16" t="s">
        <v>97</v>
      </c>
    </row>
    <row r="8" spans="1:3" x14ac:dyDescent="0.25">
      <c r="A8" s="19" t="s">
        <v>46</v>
      </c>
      <c r="B8" s="16">
        <v>0.32</v>
      </c>
      <c r="C8" s="16" t="s">
        <v>97</v>
      </c>
    </row>
    <row r="9" spans="1:3" x14ac:dyDescent="0.25">
      <c r="A9" s="19" t="s">
        <v>48</v>
      </c>
    </row>
    <row r="10" spans="1:3" x14ac:dyDescent="0.25">
      <c r="A10" s="19" t="s">
        <v>50</v>
      </c>
    </row>
    <row r="11" spans="1:3" x14ac:dyDescent="0.25">
      <c r="A11" s="19" t="s">
        <v>52</v>
      </c>
      <c r="B11" s="16">
        <v>67.400000000000006</v>
      </c>
      <c r="C11" s="16" t="s">
        <v>97</v>
      </c>
    </row>
    <row r="12" spans="1:3" x14ac:dyDescent="0.25">
      <c r="A12" s="19" t="s">
        <v>54</v>
      </c>
    </row>
    <row r="13" spans="1:3" x14ac:dyDescent="0.25">
      <c r="A13" s="16" t="s">
        <v>56</v>
      </c>
    </row>
    <row r="14" spans="1:3" x14ac:dyDescent="0.25">
      <c r="A14" s="19"/>
    </row>
    <row r="16" spans="1:3" ht="15" x14ac:dyDescent="0.25">
      <c r="A16" s="20" t="s">
        <v>99</v>
      </c>
      <c r="B16" s="20"/>
      <c r="C16" s="20"/>
    </row>
    <row r="17" spans="1:3" x14ac:dyDescent="0.25">
      <c r="A17" s="16" t="s">
        <v>7</v>
      </c>
      <c r="B17" s="16">
        <v>195</v>
      </c>
      <c r="C17" s="16" t="s">
        <v>100</v>
      </c>
    </row>
    <row r="18" spans="1:3" x14ac:dyDescent="0.25">
      <c r="A18" s="16" t="s">
        <v>8</v>
      </c>
      <c r="B18" s="16">
        <v>4.3</v>
      </c>
      <c r="C18" s="16" t="s">
        <v>101</v>
      </c>
    </row>
    <row r="19" spans="1:3" x14ac:dyDescent="0.25">
      <c r="A19" s="16" t="s">
        <v>9</v>
      </c>
      <c r="B19" s="16">
        <v>2.2999999999999998</v>
      </c>
      <c r="C19" s="16" t="s">
        <v>113</v>
      </c>
    </row>
    <row r="20" spans="1:3" x14ac:dyDescent="0.25">
      <c r="A20" s="16" t="s">
        <v>10</v>
      </c>
      <c r="B20" s="16">
        <v>18.5</v>
      </c>
      <c r="C20" s="16" t="s">
        <v>101</v>
      </c>
    </row>
    <row r="21" spans="1:3" x14ac:dyDescent="0.25">
      <c r="A21" s="16" t="s">
        <v>103</v>
      </c>
      <c r="B21" s="16">
        <v>0.25</v>
      </c>
      <c r="C21" s="16" t="s">
        <v>26</v>
      </c>
    </row>
    <row r="22" spans="1:3" x14ac:dyDescent="0.25">
      <c r="A22" s="16" t="s">
        <v>104</v>
      </c>
      <c r="B22" s="16">
        <v>0.25</v>
      </c>
      <c r="C22" s="16" t="s">
        <v>26</v>
      </c>
    </row>
    <row r="23" spans="1:3" x14ac:dyDescent="0.25">
      <c r="A23" s="16" t="s">
        <v>14</v>
      </c>
      <c r="B23" s="16">
        <v>0.25</v>
      </c>
      <c r="C23" s="16" t="s">
        <v>26</v>
      </c>
    </row>
    <row r="24" spans="1:3" x14ac:dyDescent="0.25">
      <c r="A24" s="16" t="s">
        <v>15</v>
      </c>
      <c r="B24" s="16">
        <v>0.6</v>
      </c>
      <c r="C24" s="16" t="s">
        <v>101</v>
      </c>
    </row>
    <row r="25" spans="1:3" x14ac:dyDescent="0.25">
      <c r="A25" s="16" t="s">
        <v>105</v>
      </c>
      <c r="B25" s="16">
        <v>3.9</v>
      </c>
      <c r="C25" s="16" t="s">
        <v>106</v>
      </c>
    </row>
    <row r="26" spans="1:3" x14ac:dyDescent="0.25">
      <c r="A26" s="16" t="s">
        <v>107</v>
      </c>
      <c r="B26" s="16">
        <v>27.5</v>
      </c>
      <c r="C26" s="16" t="s">
        <v>101</v>
      </c>
    </row>
    <row r="27" spans="1:3" x14ac:dyDescent="0.25">
      <c r="A27" s="16" t="s">
        <v>108</v>
      </c>
      <c r="B27" s="16">
        <v>1.4</v>
      </c>
      <c r="C27" s="16" t="s">
        <v>26</v>
      </c>
    </row>
    <row r="28" spans="1:3" x14ac:dyDescent="0.25">
      <c r="A28" s="16" t="s">
        <v>109</v>
      </c>
      <c r="B28" s="16">
        <v>9.1</v>
      </c>
      <c r="C28" s="16" t="s">
        <v>101</v>
      </c>
    </row>
    <row r="29" spans="1:3" x14ac:dyDescent="0.25">
      <c r="A29" s="16" t="s">
        <v>23</v>
      </c>
      <c r="B29" s="16">
        <v>23</v>
      </c>
      <c r="C29" s="16" t="s">
        <v>26</v>
      </c>
    </row>
    <row r="30" spans="1:3" x14ac:dyDescent="0.25">
      <c r="A30" s="16" t="s">
        <v>110</v>
      </c>
      <c r="B30" s="16">
        <v>45</v>
      </c>
      <c r="C30" s="16" t="s">
        <v>26</v>
      </c>
    </row>
    <row r="31" spans="1:3" x14ac:dyDescent="0.25">
      <c r="A31" s="16" t="s">
        <v>111</v>
      </c>
      <c r="B31" s="16">
        <v>49</v>
      </c>
      <c r="C31" s="16" t="s">
        <v>26</v>
      </c>
    </row>
    <row r="33" spans="1:3" ht="15" x14ac:dyDescent="0.25">
      <c r="A33" s="21" t="s">
        <v>112</v>
      </c>
      <c r="B33" s="22"/>
      <c r="C33" s="22"/>
    </row>
    <row r="34" spans="1:3" x14ac:dyDescent="0.25">
      <c r="A34" s="16" t="s">
        <v>32</v>
      </c>
      <c r="B34" s="16">
        <v>716</v>
      </c>
      <c r="C34" s="16" t="s">
        <v>26</v>
      </c>
    </row>
    <row r="35" spans="1:3" x14ac:dyDescent="0.25">
      <c r="A35" s="16" t="s">
        <v>34</v>
      </c>
      <c r="B35" s="16">
        <v>377</v>
      </c>
      <c r="C35" s="16" t="s">
        <v>26</v>
      </c>
    </row>
    <row r="36" spans="1:3" x14ac:dyDescent="0.25">
      <c r="A36" s="16" t="s">
        <v>36</v>
      </c>
      <c r="B36" s="16">
        <v>23.1</v>
      </c>
      <c r="C36" s="16" t="s">
        <v>26</v>
      </c>
    </row>
    <row r="37" spans="1:3" x14ac:dyDescent="0.25">
      <c r="A37" s="16" t="s">
        <v>38</v>
      </c>
      <c r="B37" s="16">
        <v>6.5</v>
      </c>
      <c r="C37" s="16" t="s">
        <v>26</v>
      </c>
    </row>
    <row r="38" spans="1:3" x14ac:dyDescent="0.25">
      <c r="A38" s="16" t="s">
        <v>40</v>
      </c>
      <c r="B38" s="16">
        <v>4.5</v>
      </c>
      <c r="C38" s="16" t="s">
        <v>26</v>
      </c>
    </row>
    <row r="39" spans="1:3" x14ac:dyDescent="0.25">
      <c r="A39" s="16" t="s">
        <v>42</v>
      </c>
      <c r="B39" s="16">
        <v>0.34</v>
      </c>
      <c r="C39" s="16" t="s">
        <v>26</v>
      </c>
    </row>
    <row r="40" spans="1:3" x14ac:dyDescent="0.25">
      <c r="A40" s="16" t="s">
        <v>45</v>
      </c>
      <c r="B40" s="16">
        <v>0.34</v>
      </c>
      <c r="C40" s="16" t="s">
        <v>26</v>
      </c>
    </row>
    <row r="41" spans="1:3" x14ac:dyDescent="0.25">
      <c r="A41" s="16" t="s">
        <v>47</v>
      </c>
      <c r="B41" s="16">
        <v>41.4</v>
      </c>
      <c r="C41" s="16" t="s">
        <v>101</v>
      </c>
    </row>
    <row r="42" spans="1:3" x14ac:dyDescent="0.25">
      <c r="A42" s="16" t="s">
        <v>49</v>
      </c>
      <c r="B42" s="16">
        <v>9.6999999999999993</v>
      </c>
      <c r="C42" s="16" t="s">
        <v>101</v>
      </c>
    </row>
    <row r="43" spans="1:3" x14ac:dyDescent="0.25">
      <c r="A43" s="16" t="s">
        <v>51</v>
      </c>
      <c r="B43" s="16">
        <v>11</v>
      </c>
      <c r="C43" s="16" t="s">
        <v>101</v>
      </c>
    </row>
    <row r="44" spans="1:3" x14ac:dyDescent="0.25">
      <c r="A44" s="16" t="s">
        <v>53</v>
      </c>
      <c r="B44" s="16">
        <v>12.4</v>
      </c>
      <c r="C44" s="16" t="s">
        <v>101</v>
      </c>
    </row>
    <row r="45" spans="1:3" x14ac:dyDescent="0.25">
      <c r="A45" s="16" t="s">
        <v>55</v>
      </c>
      <c r="B45" s="16">
        <v>42</v>
      </c>
      <c r="C45" s="16" t="s">
        <v>26</v>
      </c>
    </row>
    <row r="46" spans="1:3" x14ac:dyDescent="0.25">
      <c r="A46" s="16" t="s">
        <v>57</v>
      </c>
      <c r="B46" s="16">
        <v>20</v>
      </c>
      <c r="C46" s="16" t="s">
        <v>26</v>
      </c>
    </row>
    <row r="47" spans="1:3" x14ac:dyDescent="0.25">
      <c r="A47" s="16" t="s">
        <v>60</v>
      </c>
      <c r="B47" s="16">
        <v>48</v>
      </c>
      <c r="C47" s="16" t="s">
        <v>26</v>
      </c>
    </row>
  </sheetData>
  <pageMargins left="0.7" right="0.7" top="0.75" bottom="0.75" header="0.3" footer="0.3"/>
  <extLst>
    <ext xmlns:mx="http://schemas.microsoft.com/office/mac/excel/2008/main" uri="{64002731-A6B0-56B0-2670-7721B7C09600}">
      <mx:PLV Mode="0" OnePage="0" WScale="0"/>
    </ext>
  </extLst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sheetPr codeName="Sheet4"/>
  <dimension ref="A1:C47"/>
  <sheetViews>
    <sheetView workbookViewId="0">
      <selection activeCell="B3" sqref="B3:C47"/>
    </sheetView>
  </sheetViews>
  <sheetFormatPr defaultColWidth="8.88671875" defaultRowHeight="13.8" x14ac:dyDescent="0.25"/>
  <cols>
    <col min="1" max="1" width="19.6640625" style="16" bestFit="1" customWidth="1"/>
    <col min="2" max="16384" width="8.88671875" style="16"/>
  </cols>
  <sheetData>
    <row r="1" spans="1:3" ht="15" x14ac:dyDescent="0.25">
      <c r="A1" s="18" t="s">
        <v>92</v>
      </c>
      <c r="B1" s="18" t="s">
        <v>93</v>
      </c>
      <c r="C1" s="18" t="s">
        <v>94</v>
      </c>
    </row>
    <row r="2" spans="1:3" x14ac:dyDescent="0.25">
      <c r="A2" s="19" t="s">
        <v>35</v>
      </c>
      <c r="B2" s="16">
        <v>475</v>
      </c>
      <c r="C2" s="16" t="s">
        <v>95</v>
      </c>
    </row>
    <row r="3" spans="1:3" x14ac:dyDescent="0.25">
      <c r="A3" s="19" t="s">
        <v>96</v>
      </c>
      <c r="B3" s="16">
        <v>13.3</v>
      </c>
      <c r="C3" s="16" t="s">
        <v>97</v>
      </c>
    </row>
    <row r="4" spans="1:3" x14ac:dyDescent="0.25">
      <c r="A4" s="19" t="s">
        <v>39</v>
      </c>
      <c r="B4" s="16">
        <v>22</v>
      </c>
      <c r="C4" s="16" t="s">
        <v>97</v>
      </c>
    </row>
    <row r="5" spans="1:3" x14ac:dyDescent="0.25">
      <c r="A5" s="19" t="s">
        <v>98</v>
      </c>
    </row>
    <row r="6" spans="1:3" x14ac:dyDescent="0.25">
      <c r="A6" s="19" t="s">
        <v>41</v>
      </c>
      <c r="B6" s="16">
        <v>7.3</v>
      </c>
      <c r="C6" s="16" t="s">
        <v>97</v>
      </c>
    </row>
    <row r="7" spans="1:3" x14ac:dyDescent="0.25">
      <c r="A7" s="19" t="s">
        <v>44</v>
      </c>
    </row>
    <row r="8" spans="1:3" x14ac:dyDescent="0.25">
      <c r="A8" s="19" t="s">
        <v>46</v>
      </c>
    </row>
    <row r="9" spans="1:3" x14ac:dyDescent="0.25">
      <c r="A9" s="19" t="s">
        <v>48</v>
      </c>
    </row>
    <row r="10" spans="1:3" x14ac:dyDescent="0.25">
      <c r="A10" s="19" t="s">
        <v>50</v>
      </c>
    </row>
    <row r="11" spans="1:3" x14ac:dyDescent="0.25">
      <c r="A11" s="19" t="s">
        <v>52</v>
      </c>
      <c r="B11" s="16">
        <v>56</v>
      </c>
      <c r="C11" s="16" t="s">
        <v>97</v>
      </c>
    </row>
    <row r="12" spans="1:3" x14ac:dyDescent="0.25">
      <c r="A12" s="19" t="s">
        <v>54</v>
      </c>
    </row>
    <row r="13" spans="1:3" x14ac:dyDescent="0.25">
      <c r="A13" s="16" t="s">
        <v>56</v>
      </c>
    </row>
    <row r="14" spans="1:3" x14ac:dyDescent="0.25">
      <c r="A14" s="19"/>
    </row>
    <row r="16" spans="1:3" ht="15" x14ac:dyDescent="0.25">
      <c r="A16" s="20" t="s">
        <v>99</v>
      </c>
      <c r="B16" s="20"/>
      <c r="C16" s="20"/>
    </row>
    <row r="17" spans="1:3" x14ac:dyDescent="0.25">
      <c r="A17" s="16" t="s">
        <v>7</v>
      </c>
      <c r="B17" s="16">
        <v>214</v>
      </c>
      <c r="C17" s="16" t="s">
        <v>100</v>
      </c>
    </row>
    <row r="18" spans="1:3" x14ac:dyDescent="0.25">
      <c r="A18" s="16" t="s">
        <v>8</v>
      </c>
      <c r="B18" s="16">
        <v>6.2</v>
      </c>
      <c r="C18" s="16" t="s">
        <v>101</v>
      </c>
    </row>
    <row r="19" spans="1:3" x14ac:dyDescent="0.25">
      <c r="A19" s="16" t="s">
        <v>9</v>
      </c>
      <c r="B19" s="16">
        <v>6.7</v>
      </c>
      <c r="C19" s="16" t="s">
        <v>102</v>
      </c>
    </row>
    <row r="20" spans="1:3" x14ac:dyDescent="0.25">
      <c r="A20" s="16" t="s">
        <v>10</v>
      </c>
      <c r="B20" s="16">
        <v>19</v>
      </c>
      <c r="C20" s="16" t="s">
        <v>101</v>
      </c>
    </row>
    <row r="21" spans="1:3" x14ac:dyDescent="0.25">
      <c r="A21" s="16" t="s">
        <v>103</v>
      </c>
      <c r="B21" s="16">
        <v>0.48</v>
      </c>
      <c r="C21" s="16" t="s">
        <v>26</v>
      </c>
    </row>
    <row r="22" spans="1:3" x14ac:dyDescent="0.25">
      <c r="A22" s="16" t="s">
        <v>104</v>
      </c>
      <c r="B22" s="16">
        <v>0.95</v>
      </c>
      <c r="C22" s="16" t="s">
        <v>26</v>
      </c>
    </row>
    <row r="23" spans="1:3" x14ac:dyDescent="0.25">
      <c r="A23" s="16" t="s">
        <v>14</v>
      </c>
      <c r="B23" s="16">
        <v>0.48</v>
      </c>
      <c r="C23" s="16" t="s">
        <v>26</v>
      </c>
    </row>
    <row r="24" spans="1:3" x14ac:dyDescent="0.25">
      <c r="A24" s="16" t="s">
        <v>15</v>
      </c>
      <c r="B24" s="16">
        <v>1.2</v>
      </c>
      <c r="C24" s="16" t="s">
        <v>101</v>
      </c>
    </row>
    <row r="25" spans="1:3" x14ac:dyDescent="0.25">
      <c r="A25" s="16" t="s">
        <v>105</v>
      </c>
      <c r="B25" s="16">
        <v>9</v>
      </c>
      <c r="C25" s="16" t="s">
        <v>106</v>
      </c>
    </row>
    <row r="26" spans="1:3" x14ac:dyDescent="0.25">
      <c r="A26" s="16" t="s">
        <v>107</v>
      </c>
      <c r="B26" s="16">
        <v>71.3</v>
      </c>
      <c r="C26" s="16" t="s">
        <v>101</v>
      </c>
    </row>
    <row r="27" spans="1:3" x14ac:dyDescent="0.25">
      <c r="A27" s="16" t="s">
        <v>108</v>
      </c>
      <c r="B27" s="16">
        <v>1.9</v>
      </c>
      <c r="C27" s="16" t="s">
        <v>26</v>
      </c>
    </row>
    <row r="28" spans="1:3" x14ac:dyDescent="0.25">
      <c r="A28" s="16" t="s">
        <v>109</v>
      </c>
      <c r="B28" s="16">
        <v>14.3</v>
      </c>
      <c r="C28" s="16" t="s">
        <v>101</v>
      </c>
    </row>
    <row r="29" spans="1:3" x14ac:dyDescent="0.25">
      <c r="A29" s="16" t="s">
        <v>23</v>
      </c>
      <c r="B29" s="16">
        <v>47.5</v>
      </c>
      <c r="C29" s="16" t="s">
        <v>26</v>
      </c>
    </row>
    <row r="30" spans="1:3" x14ac:dyDescent="0.25">
      <c r="A30" s="16" t="s">
        <v>110</v>
      </c>
      <c r="B30" s="16">
        <v>95</v>
      </c>
      <c r="C30" s="16" t="s">
        <v>26</v>
      </c>
    </row>
    <row r="31" spans="1:3" x14ac:dyDescent="0.25">
      <c r="A31" s="16" t="s">
        <v>111</v>
      </c>
      <c r="B31" s="16">
        <v>26.1</v>
      </c>
      <c r="C31" s="16" t="s">
        <v>26</v>
      </c>
    </row>
    <row r="33" spans="1:3" ht="15" x14ac:dyDescent="0.25">
      <c r="A33" s="21" t="s">
        <v>112</v>
      </c>
      <c r="B33" s="22"/>
      <c r="C33" s="22"/>
    </row>
    <row r="34" spans="1:3" x14ac:dyDescent="0.25">
      <c r="A34" s="16" t="s">
        <v>32</v>
      </c>
      <c r="B34" s="16">
        <v>428</v>
      </c>
      <c r="C34" s="16" t="s">
        <v>26</v>
      </c>
    </row>
    <row r="35" spans="1:3" x14ac:dyDescent="0.25">
      <c r="A35" s="16" t="s">
        <v>34</v>
      </c>
      <c r="B35" s="16">
        <v>309</v>
      </c>
      <c r="C35" s="16" t="s">
        <v>26</v>
      </c>
    </row>
    <row r="36" spans="1:3" x14ac:dyDescent="0.25">
      <c r="A36" s="16" t="s">
        <v>36</v>
      </c>
      <c r="B36" s="16">
        <v>66.5</v>
      </c>
      <c r="C36" s="16" t="s">
        <v>26</v>
      </c>
    </row>
    <row r="37" spans="1:3" x14ac:dyDescent="0.25">
      <c r="A37" s="16" t="s">
        <v>38</v>
      </c>
      <c r="B37" s="16">
        <v>5.7</v>
      </c>
      <c r="C37" s="16" t="s">
        <v>26</v>
      </c>
    </row>
    <row r="38" spans="1:3" x14ac:dyDescent="0.25">
      <c r="A38" s="16" t="s">
        <v>40</v>
      </c>
      <c r="B38" s="16">
        <v>5.2</v>
      </c>
      <c r="C38" s="16" t="s">
        <v>26</v>
      </c>
    </row>
    <row r="39" spans="1:3" x14ac:dyDescent="0.25">
      <c r="A39" s="16" t="s">
        <v>42</v>
      </c>
      <c r="B39" s="16">
        <v>0.28999999999999998</v>
      </c>
      <c r="C39" s="16" t="s">
        <v>26</v>
      </c>
    </row>
    <row r="40" spans="1:3" x14ac:dyDescent="0.25">
      <c r="A40" s="16" t="s">
        <v>45</v>
      </c>
      <c r="B40" s="16">
        <v>0.48</v>
      </c>
      <c r="C40" s="16" t="s">
        <v>26</v>
      </c>
    </row>
    <row r="41" spans="1:3" x14ac:dyDescent="0.25">
      <c r="A41" s="16" t="s">
        <v>47</v>
      </c>
      <c r="B41" s="16">
        <v>71.3</v>
      </c>
      <c r="C41" s="16" t="s">
        <v>101</v>
      </c>
    </row>
    <row r="42" spans="1:3" x14ac:dyDescent="0.25">
      <c r="A42" s="16" t="s">
        <v>49</v>
      </c>
      <c r="B42" s="16">
        <v>21.4</v>
      </c>
      <c r="C42" s="16" t="s">
        <v>101</v>
      </c>
    </row>
    <row r="43" spans="1:3" x14ac:dyDescent="0.25">
      <c r="A43" s="16" t="s">
        <v>51</v>
      </c>
      <c r="B43" s="16">
        <v>7.6</v>
      </c>
      <c r="C43" s="16" t="s">
        <v>101</v>
      </c>
    </row>
    <row r="44" spans="1:3" x14ac:dyDescent="0.25">
      <c r="A44" s="16" t="s">
        <v>53</v>
      </c>
      <c r="B44" s="16">
        <v>15.2</v>
      </c>
      <c r="C44" s="16" t="s">
        <v>101</v>
      </c>
    </row>
    <row r="45" spans="1:3" x14ac:dyDescent="0.25">
      <c r="A45" s="16" t="s">
        <v>55</v>
      </c>
      <c r="B45" s="16">
        <v>285</v>
      </c>
      <c r="C45" s="16" t="s">
        <v>26</v>
      </c>
    </row>
    <row r="46" spans="1:3" x14ac:dyDescent="0.25">
      <c r="A46" s="16" t="s">
        <v>57</v>
      </c>
      <c r="B46" s="16">
        <v>546</v>
      </c>
      <c r="C46" s="16" t="s">
        <v>26</v>
      </c>
    </row>
    <row r="47" spans="1:3" x14ac:dyDescent="0.25">
      <c r="A47" s="16" t="s">
        <v>60</v>
      </c>
      <c r="B47" s="16">
        <v>437</v>
      </c>
      <c r="C47" s="16" t="s">
        <v>26</v>
      </c>
    </row>
  </sheetData>
  <pageMargins left="0.7" right="0.7" top="0.75" bottom="0.75" header="0.3" footer="0.3"/>
  <extLst>
    <ext xmlns:mx="http://schemas.microsoft.com/office/mac/excel/2008/main" uri="{64002731-A6B0-56B0-2670-7721B7C09600}">
      <mx:PLV Mode="0" OnePage="0" WScale="0"/>
    </ext>
  </extLst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dimension ref="A1:C47"/>
  <sheetViews>
    <sheetView workbookViewId="0">
      <selection activeCell="B3" sqref="B3:C47"/>
    </sheetView>
  </sheetViews>
  <sheetFormatPr defaultColWidth="8.88671875" defaultRowHeight="13.8" x14ac:dyDescent="0.25"/>
  <cols>
    <col min="1" max="1" width="19.6640625" style="16" bestFit="1" customWidth="1"/>
    <col min="2" max="2" width="8.88671875" style="16"/>
    <col min="3" max="3" width="10.33203125" style="16" bestFit="1" customWidth="1"/>
    <col min="4" max="16384" width="8.88671875" style="16"/>
  </cols>
  <sheetData>
    <row r="1" spans="1:3" ht="15" x14ac:dyDescent="0.25">
      <c r="A1" s="18" t="s">
        <v>92</v>
      </c>
      <c r="B1" s="18" t="s">
        <v>93</v>
      </c>
      <c r="C1" s="18" t="s">
        <v>94</v>
      </c>
    </row>
    <row r="2" spans="1:3" x14ac:dyDescent="0.25">
      <c r="A2" s="19" t="s">
        <v>35</v>
      </c>
      <c r="B2" s="16">
        <v>464</v>
      </c>
      <c r="C2" s="16" t="s">
        <v>95</v>
      </c>
    </row>
    <row r="3" spans="1:3" x14ac:dyDescent="0.25">
      <c r="A3" s="19" t="s">
        <v>96</v>
      </c>
      <c r="B3" s="16">
        <v>13</v>
      </c>
      <c r="C3" s="16" t="s">
        <v>97</v>
      </c>
    </row>
    <row r="4" spans="1:3" x14ac:dyDescent="0.25">
      <c r="A4" s="19" t="s">
        <v>39</v>
      </c>
      <c r="B4" s="16">
        <v>23</v>
      </c>
      <c r="C4" s="16" t="s">
        <v>97</v>
      </c>
    </row>
    <row r="5" spans="1:3" x14ac:dyDescent="0.25">
      <c r="A5" s="19" t="s">
        <v>98</v>
      </c>
    </row>
    <row r="6" spans="1:3" x14ac:dyDescent="0.25">
      <c r="A6" s="19" t="s">
        <v>41</v>
      </c>
      <c r="B6" s="16">
        <v>7.3</v>
      </c>
      <c r="C6" s="16" t="s">
        <v>97</v>
      </c>
    </row>
    <row r="7" spans="1:3" x14ac:dyDescent="0.25">
      <c r="A7" s="19" t="s">
        <v>44</v>
      </c>
      <c r="B7" s="16">
        <v>3.298</v>
      </c>
      <c r="C7" s="16" t="s">
        <v>97</v>
      </c>
    </row>
    <row r="8" spans="1:3" x14ac:dyDescent="0.25">
      <c r="A8" s="19" t="s">
        <v>46</v>
      </c>
      <c r="B8" s="116">
        <v>0.33</v>
      </c>
      <c r="C8" s="16" t="s">
        <v>97</v>
      </c>
    </row>
    <row r="9" spans="1:3" x14ac:dyDescent="0.25">
      <c r="A9" s="19" t="s">
        <v>48</v>
      </c>
      <c r="B9" s="16">
        <v>77</v>
      </c>
      <c r="C9" s="16" t="s">
        <v>26</v>
      </c>
    </row>
    <row r="10" spans="1:3" x14ac:dyDescent="0.25">
      <c r="A10" s="19" t="s">
        <v>50</v>
      </c>
      <c r="B10" s="16">
        <v>77</v>
      </c>
      <c r="C10" s="16" t="s">
        <v>26</v>
      </c>
    </row>
    <row r="11" spans="1:3" x14ac:dyDescent="0.25">
      <c r="A11" s="19" t="s">
        <v>52</v>
      </c>
      <c r="B11" s="16">
        <v>49</v>
      </c>
      <c r="C11" s="16" t="s">
        <v>97</v>
      </c>
    </row>
    <row r="12" spans="1:3" x14ac:dyDescent="0.25">
      <c r="A12" s="19" t="s">
        <v>54</v>
      </c>
      <c r="B12" s="16">
        <v>4.9000000000000004</v>
      </c>
      <c r="C12" s="16" t="s">
        <v>97</v>
      </c>
    </row>
    <row r="13" spans="1:3" x14ac:dyDescent="0.25">
      <c r="A13" s="16" t="s">
        <v>56</v>
      </c>
    </row>
    <row r="14" spans="1:3" x14ac:dyDescent="0.25">
      <c r="A14" s="19"/>
    </row>
    <row r="16" spans="1:3" ht="15" x14ac:dyDescent="0.25">
      <c r="A16" s="20" t="s">
        <v>99</v>
      </c>
      <c r="B16" s="20"/>
      <c r="C16" s="20"/>
    </row>
    <row r="17" spans="1:3" x14ac:dyDescent="0.25">
      <c r="A17" s="16" t="s">
        <v>7</v>
      </c>
      <c r="B17" s="16">
        <v>390</v>
      </c>
      <c r="C17" s="16" t="s">
        <v>100</v>
      </c>
    </row>
    <row r="18" spans="1:3" x14ac:dyDescent="0.25">
      <c r="A18" s="16" t="s">
        <v>8</v>
      </c>
      <c r="B18" s="16">
        <v>8.4</v>
      </c>
      <c r="C18" s="16" t="s">
        <v>101</v>
      </c>
    </row>
    <row r="19" spans="1:3" x14ac:dyDescent="0.25">
      <c r="A19" s="16" t="s">
        <v>9</v>
      </c>
      <c r="B19" s="16">
        <v>4.3</v>
      </c>
      <c r="C19" s="16" t="s">
        <v>102</v>
      </c>
    </row>
    <row r="20" spans="1:3" x14ac:dyDescent="0.25">
      <c r="A20" s="16" t="s">
        <v>10</v>
      </c>
      <c r="B20" s="16">
        <v>40.799999999999997</v>
      </c>
      <c r="C20" s="16" t="s">
        <v>101</v>
      </c>
    </row>
    <row r="21" spans="1:3" x14ac:dyDescent="0.25">
      <c r="A21" s="16" t="s">
        <v>103</v>
      </c>
      <c r="B21" s="16">
        <v>0.54</v>
      </c>
      <c r="C21" s="16" t="s">
        <v>26</v>
      </c>
    </row>
    <row r="22" spans="1:3" x14ac:dyDescent="0.25">
      <c r="A22" s="16" t="s">
        <v>104</v>
      </c>
      <c r="B22" s="16">
        <v>0.54</v>
      </c>
      <c r="C22" s="16" t="s">
        <v>26</v>
      </c>
    </row>
    <row r="23" spans="1:3" x14ac:dyDescent="0.25">
      <c r="A23" s="16" t="s">
        <v>14</v>
      </c>
      <c r="B23" s="16">
        <v>0.54</v>
      </c>
      <c r="C23" s="16" t="s">
        <v>26</v>
      </c>
    </row>
    <row r="24" spans="1:3" x14ac:dyDescent="0.25">
      <c r="A24" s="16" t="s">
        <v>15</v>
      </c>
      <c r="B24" s="16">
        <v>1.3</v>
      </c>
      <c r="C24" s="16" t="s">
        <v>101</v>
      </c>
    </row>
    <row r="25" spans="1:3" x14ac:dyDescent="0.25">
      <c r="A25" s="16" t="s">
        <v>105</v>
      </c>
      <c r="B25" s="16">
        <v>10</v>
      </c>
      <c r="C25" s="16" t="s">
        <v>106</v>
      </c>
    </row>
    <row r="26" spans="1:3" x14ac:dyDescent="0.25">
      <c r="A26" s="16" t="s">
        <v>107</v>
      </c>
      <c r="B26" s="16">
        <v>62.7</v>
      </c>
      <c r="C26" s="16" t="s">
        <v>101</v>
      </c>
    </row>
    <row r="27" spans="1:3" x14ac:dyDescent="0.25">
      <c r="A27" s="16" t="s">
        <v>108</v>
      </c>
      <c r="B27" s="16">
        <v>2.8</v>
      </c>
      <c r="C27" s="16" t="s">
        <v>26</v>
      </c>
    </row>
    <row r="28" spans="1:3" x14ac:dyDescent="0.25">
      <c r="A28" s="16" t="s">
        <v>109</v>
      </c>
      <c r="B28" s="16">
        <v>18.100000000000001</v>
      </c>
      <c r="C28" s="16" t="s">
        <v>101</v>
      </c>
    </row>
    <row r="29" spans="1:3" x14ac:dyDescent="0.25">
      <c r="A29" s="16" t="s">
        <v>23</v>
      </c>
      <c r="B29" s="16">
        <v>49.6</v>
      </c>
      <c r="C29" s="16" t="s">
        <v>26</v>
      </c>
    </row>
    <row r="30" spans="1:3" x14ac:dyDescent="0.25">
      <c r="A30" s="16" t="s">
        <v>110</v>
      </c>
      <c r="B30" s="16">
        <v>91.9</v>
      </c>
      <c r="C30" s="16" t="s">
        <v>26</v>
      </c>
    </row>
    <row r="31" spans="1:3" x14ac:dyDescent="0.25">
      <c r="A31" s="16" t="s">
        <v>111</v>
      </c>
      <c r="B31" s="16">
        <v>104</v>
      </c>
      <c r="C31" s="16" t="s">
        <v>26</v>
      </c>
    </row>
    <row r="33" spans="1:3" ht="15" x14ac:dyDescent="0.25">
      <c r="A33" s="21" t="s">
        <v>112</v>
      </c>
      <c r="B33" s="22"/>
      <c r="C33" s="22"/>
    </row>
    <row r="34" spans="1:3" x14ac:dyDescent="0.25">
      <c r="A34" s="16" t="s">
        <v>32</v>
      </c>
      <c r="B34" s="16">
        <v>538</v>
      </c>
      <c r="C34" s="16" t="s">
        <v>26</v>
      </c>
    </row>
    <row r="35" spans="1:3" x14ac:dyDescent="0.25">
      <c r="A35" s="16" t="s">
        <v>34</v>
      </c>
      <c r="B35" s="16">
        <v>381</v>
      </c>
      <c r="C35" s="16" t="s">
        <v>26</v>
      </c>
    </row>
    <row r="36" spans="1:3" x14ac:dyDescent="0.25">
      <c r="A36" s="16" t="s">
        <v>36</v>
      </c>
      <c r="B36" s="16">
        <v>49.2</v>
      </c>
      <c r="C36" s="16" t="s">
        <v>26</v>
      </c>
    </row>
    <row r="37" spans="1:3" x14ac:dyDescent="0.25">
      <c r="A37" s="16" t="s">
        <v>38</v>
      </c>
      <c r="B37" s="16">
        <v>6.9</v>
      </c>
      <c r="C37" s="16" t="s">
        <v>26</v>
      </c>
    </row>
    <row r="38" spans="1:3" x14ac:dyDescent="0.25">
      <c r="A38" s="16" t="s">
        <v>40</v>
      </c>
      <c r="B38" s="16">
        <v>5.0999999999999996</v>
      </c>
      <c r="C38" s="16" t="s">
        <v>26</v>
      </c>
    </row>
    <row r="39" spans="1:3" x14ac:dyDescent="0.25">
      <c r="A39" s="16" t="s">
        <v>42</v>
      </c>
      <c r="B39" s="16">
        <v>0.19</v>
      </c>
      <c r="C39" s="16" t="s">
        <v>26</v>
      </c>
    </row>
    <row r="40" spans="1:3" x14ac:dyDescent="0.25">
      <c r="A40" s="16" t="s">
        <v>45</v>
      </c>
      <c r="B40" s="115">
        <v>0.39</v>
      </c>
      <c r="C40" s="16" t="s">
        <v>26</v>
      </c>
    </row>
    <row r="41" spans="1:3" x14ac:dyDescent="0.25">
      <c r="A41" s="16" t="s">
        <v>47</v>
      </c>
      <c r="B41" s="16">
        <v>95.6</v>
      </c>
      <c r="C41" s="16" t="s">
        <v>101</v>
      </c>
    </row>
    <row r="42" spans="1:3" x14ac:dyDescent="0.25">
      <c r="A42" s="16" t="s">
        <v>49</v>
      </c>
      <c r="B42" s="16">
        <v>10.7</v>
      </c>
      <c r="C42" s="16" t="s">
        <v>101</v>
      </c>
    </row>
    <row r="43" spans="1:3" x14ac:dyDescent="0.25">
      <c r="A43" s="16" t="s">
        <v>51</v>
      </c>
      <c r="B43" s="16">
        <v>10.1</v>
      </c>
      <c r="C43" s="16" t="s">
        <v>101</v>
      </c>
    </row>
    <row r="44" spans="1:3" x14ac:dyDescent="0.25">
      <c r="A44" s="16" t="s">
        <v>53</v>
      </c>
      <c r="B44" s="16">
        <v>13.8</v>
      </c>
      <c r="C44" s="16" t="s">
        <v>101</v>
      </c>
    </row>
    <row r="45" spans="1:3" x14ac:dyDescent="0.25">
      <c r="A45" s="16" t="s">
        <v>55</v>
      </c>
      <c r="B45" s="16">
        <v>181</v>
      </c>
      <c r="C45" s="16" t="s">
        <v>26</v>
      </c>
    </row>
    <row r="46" spans="1:3" x14ac:dyDescent="0.25">
      <c r="A46" s="16" t="s">
        <v>57</v>
      </c>
      <c r="B46" s="16">
        <v>505</v>
      </c>
      <c r="C46" s="16" t="s">
        <v>26</v>
      </c>
    </row>
    <row r="47" spans="1:3" x14ac:dyDescent="0.25">
      <c r="A47" s="16" t="s">
        <v>60</v>
      </c>
      <c r="B47" s="16">
        <v>370</v>
      </c>
      <c r="C47" s="16" t="s">
        <v>26</v>
      </c>
    </row>
  </sheetData>
  <pageMargins left="0.7" right="0.7" top="0.75" bottom="0.75" header="0.3" footer="0.3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500-000000000000}">
  <sheetPr codeName="Sheet5">
    <pageSetUpPr fitToPage="1"/>
  </sheetPr>
  <dimension ref="A1:L54"/>
  <sheetViews>
    <sheetView topLeftCell="A21" workbookViewId="0">
      <selection activeCell="F5" sqref="F5:F47"/>
    </sheetView>
  </sheetViews>
  <sheetFormatPr defaultColWidth="8.88671875" defaultRowHeight="13.8" x14ac:dyDescent="0.25"/>
  <cols>
    <col min="1" max="1" width="15" style="16" customWidth="1"/>
    <col min="2" max="2" width="8.6640625" style="16" customWidth="1"/>
    <col min="3" max="3" width="23" style="16" customWidth="1"/>
    <col min="4" max="4" width="8.88671875" style="16"/>
    <col min="5" max="5" width="26.6640625" style="16" customWidth="1"/>
    <col min="6" max="7" width="22.44140625" style="16" customWidth="1"/>
    <col min="8" max="8" width="11.5546875" style="16" bestFit="1" customWidth="1"/>
    <col min="9" max="9" width="8.88671875" style="16"/>
    <col min="10" max="10" width="25.44140625" style="24" customWidth="1"/>
    <col min="11" max="16384" width="8.88671875" style="16"/>
  </cols>
  <sheetData>
    <row r="1" spans="1:12" ht="15" x14ac:dyDescent="0.25">
      <c r="E1" s="113" t="s">
        <v>114</v>
      </c>
      <c r="F1" s="113" t="s">
        <v>115</v>
      </c>
      <c r="G1" s="113" t="s">
        <v>116</v>
      </c>
      <c r="H1" s="114" t="s">
        <v>117</v>
      </c>
    </row>
    <row r="3" spans="1:12" x14ac:dyDescent="0.25">
      <c r="A3" s="16">
        <f t="shared" ref="A3:F3" si="0">COLUMN(A2)</f>
        <v>1</v>
      </c>
      <c r="B3" s="16">
        <f t="shared" si="0"/>
        <v>2</v>
      </c>
      <c r="C3" s="16">
        <f t="shared" si="0"/>
        <v>3</v>
      </c>
      <c r="D3" s="16">
        <f t="shared" si="0"/>
        <v>4</v>
      </c>
      <c r="E3" s="16">
        <f t="shared" si="0"/>
        <v>5</v>
      </c>
      <c r="F3" s="16">
        <f t="shared" si="0"/>
        <v>6</v>
      </c>
      <c r="G3" s="16">
        <f t="shared" ref="G3:H3" si="1">COLUMN(G2)</f>
        <v>7</v>
      </c>
      <c r="H3" s="16">
        <f t="shared" si="1"/>
        <v>8</v>
      </c>
    </row>
    <row r="4" spans="1:12" ht="15" x14ac:dyDescent="0.25">
      <c r="A4" s="296" t="s">
        <v>118</v>
      </c>
      <c r="B4" s="296"/>
      <c r="C4" s="25"/>
      <c r="D4" s="26" t="s">
        <v>119</v>
      </c>
      <c r="E4" s="26"/>
      <c r="F4" s="26"/>
      <c r="G4" s="26"/>
      <c r="H4" s="26"/>
    </row>
    <row r="5" spans="1:12" ht="34.5" customHeight="1" x14ac:dyDescent="0.25">
      <c r="A5" s="27" t="s">
        <v>35</v>
      </c>
      <c r="B5" s="27"/>
      <c r="C5" s="28"/>
      <c r="D5" s="16" t="s">
        <v>120</v>
      </c>
      <c r="E5" s="29">
        <v>93.15</v>
      </c>
      <c r="F5" s="29">
        <v>93.15</v>
      </c>
      <c r="G5" s="16" t="s">
        <v>121</v>
      </c>
      <c r="H5" s="16" t="s">
        <v>122</v>
      </c>
      <c r="I5" s="16">
        <f t="shared" ref="I5:I47" si="2">F5-E5</f>
        <v>0</v>
      </c>
    </row>
    <row r="6" spans="1:12" x14ac:dyDescent="0.25">
      <c r="A6" s="30" t="s">
        <v>37</v>
      </c>
      <c r="B6" s="30"/>
      <c r="C6" s="31"/>
      <c r="D6" s="16" t="s">
        <v>123</v>
      </c>
      <c r="E6" s="32">
        <v>10</v>
      </c>
      <c r="F6" s="32">
        <v>9</v>
      </c>
      <c r="G6" s="16" t="s">
        <v>121</v>
      </c>
      <c r="H6" s="24" t="s">
        <v>124</v>
      </c>
      <c r="I6" s="16">
        <f t="shared" si="2"/>
        <v>-1</v>
      </c>
    </row>
    <row r="7" spans="1:12" x14ac:dyDescent="0.25">
      <c r="A7" s="28" t="s">
        <v>39</v>
      </c>
      <c r="B7" s="28"/>
      <c r="C7" s="31"/>
      <c r="E7" s="32"/>
      <c r="F7" s="32"/>
      <c r="H7" s="24"/>
      <c r="I7" s="16">
        <f t="shared" si="2"/>
        <v>0</v>
      </c>
    </row>
    <row r="8" spans="1:12" x14ac:dyDescent="0.25">
      <c r="A8" s="31" t="s">
        <v>98</v>
      </c>
      <c r="B8" s="31"/>
      <c r="C8" s="31"/>
      <c r="E8" s="32"/>
      <c r="F8" s="32"/>
      <c r="H8" s="24"/>
      <c r="I8" s="16">
        <f t="shared" si="2"/>
        <v>0</v>
      </c>
    </row>
    <row r="9" spans="1:12" x14ac:dyDescent="0.25">
      <c r="A9" s="28" t="s">
        <v>41</v>
      </c>
      <c r="B9" s="28"/>
      <c r="C9" s="31"/>
      <c r="E9" s="32"/>
      <c r="F9" s="32"/>
      <c r="H9" s="24"/>
      <c r="I9" s="16">
        <f t="shared" si="2"/>
        <v>0</v>
      </c>
    </row>
    <row r="10" spans="1:12" x14ac:dyDescent="0.25">
      <c r="A10" s="19" t="s">
        <v>48</v>
      </c>
      <c r="B10" s="33"/>
      <c r="C10" s="31"/>
      <c r="E10" s="32"/>
      <c r="F10" s="32"/>
      <c r="H10" s="24"/>
      <c r="I10" s="16">
        <f t="shared" si="2"/>
        <v>0</v>
      </c>
    </row>
    <row r="11" spans="1:12" x14ac:dyDescent="0.25">
      <c r="A11" s="19" t="s">
        <v>50</v>
      </c>
      <c r="B11" s="34"/>
      <c r="C11" s="31"/>
      <c r="E11" s="32"/>
      <c r="F11" s="32"/>
      <c r="H11" s="24"/>
      <c r="I11" s="16">
        <f t="shared" si="2"/>
        <v>0</v>
      </c>
    </row>
    <row r="12" spans="1:12" s="24" customFormat="1" x14ac:dyDescent="0.25">
      <c r="A12" s="31" t="s">
        <v>44</v>
      </c>
      <c r="B12" s="31"/>
      <c r="C12" s="31"/>
      <c r="D12" s="16" t="s">
        <v>125</v>
      </c>
      <c r="E12" s="16">
        <v>0.6</v>
      </c>
      <c r="F12" s="16">
        <v>0.6</v>
      </c>
      <c r="G12" s="16" t="s">
        <v>121</v>
      </c>
      <c r="H12" s="16" t="s">
        <v>126</v>
      </c>
      <c r="I12" s="16">
        <f t="shared" si="2"/>
        <v>0</v>
      </c>
      <c r="J12" s="16" t="s">
        <v>127</v>
      </c>
      <c r="K12" s="16"/>
      <c r="L12" s="16"/>
    </row>
    <row r="13" spans="1:12" s="24" customFormat="1" x14ac:dyDescent="0.25">
      <c r="A13" s="28" t="s">
        <v>46</v>
      </c>
      <c r="B13" s="28"/>
      <c r="C13" s="28"/>
      <c r="D13" s="16" t="s">
        <v>125</v>
      </c>
      <c r="E13" s="16">
        <v>0.8</v>
      </c>
      <c r="F13" s="16">
        <v>0.8</v>
      </c>
      <c r="G13" s="16" t="s">
        <v>121</v>
      </c>
      <c r="H13" s="16" t="s">
        <v>126</v>
      </c>
      <c r="I13" s="16">
        <f t="shared" si="2"/>
        <v>0</v>
      </c>
      <c r="K13" s="16"/>
      <c r="L13" s="16"/>
    </row>
    <row r="14" spans="1:12" s="24" customFormat="1" x14ac:dyDescent="0.25">
      <c r="A14" s="31" t="s">
        <v>52</v>
      </c>
      <c r="B14" s="31"/>
      <c r="C14" s="31"/>
      <c r="D14" s="16" t="s">
        <v>125</v>
      </c>
      <c r="E14" s="16">
        <v>10</v>
      </c>
      <c r="F14" s="16">
        <v>10</v>
      </c>
      <c r="G14" s="16" t="s">
        <v>121</v>
      </c>
      <c r="H14" s="16" t="s">
        <v>126</v>
      </c>
      <c r="I14" s="16">
        <f t="shared" si="2"/>
        <v>0</v>
      </c>
      <c r="K14" s="16"/>
      <c r="L14" s="16"/>
    </row>
    <row r="15" spans="1:12" x14ac:dyDescent="0.25">
      <c r="A15" s="28" t="s">
        <v>54</v>
      </c>
      <c r="B15" s="28"/>
      <c r="C15" s="35"/>
      <c r="E15" s="36"/>
      <c r="F15" s="36"/>
      <c r="G15" s="24"/>
      <c r="I15" s="16">
        <f t="shared" si="2"/>
        <v>0</v>
      </c>
    </row>
    <row r="16" spans="1:12" x14ac:dyDescent="0.25">
      <c r="A16" s="16" t="s">
        <v>56</v>
      </c>
      <c r="B16" s="34"/>
      <c r="C16" s="35"/>
      <c r="E16" s="36"/>
      <c r="F16" s="36"/>
      <c r="G16" s="24"/>
      <c r="I16" s="16">
        <f t="shared" si="2"/>
        <v>0</v>
      </c>
    </row>
    <row r="17" spans="1:10" x14ac:dyDescent="0.25">
      <c r="I17" s="16">
        <f t="shared" si="2"/>
        <v>0</v>
      </c>
    </row>
    <row r="18" spans="1:10" ht="15" x14ac:dyDescent="0.25">
      <c r="A18" s="37" t="s">
        <v>99</v>
      </c>
      <c r="B18" s="38"/>
      <c r="C18" s="38"/>
      <c r="D18" s="39"/>
      <c r="E18" s="39"/>
      <c r="F18" s="39"/>
      <c r="G18" s="39"/>
      <c r="H18" s="39"/>
      <c r="I18" s="16">
        <f t="shared" si="2"/>
        <v>0</v>
      </c>
    </row>
    <row r="19" spans="1:10" ht="15" x14ac:dyDescent="0.25">
      <c r="A19" s="37"/>
      <c r="B19" s="38"/>
      <c r="C19" s="38"/>
      <c r="D19" s="39"/>
      <c r="E19" s="39"/>
      <c r="F19" s="39"/>
      <c r="G19" s="39"/>
      <c r="H19" s="39"/>
      <c r="I19" s="16">
        <f t="shared" si="2"/>
        <v>0</v>
      </c>
    </row>
    <row r="20" spans="1:10" x14ac:dyDescent="0.25">
      <c r="A20" s="28" t="s">
        <v>7</v>
      </c>
      <c r="B20" s="28"/>
      <c r="C20" s="40"/>
      <c r="D20" s="16" t="s">
        <v>128</v>
      </c>
      <c r="E20" s="41">
        <f>'nutr demand all ages'!G100</f>
        <v>300</v>
      </c>
      <c r="F20" s="41" t="e">
        <f>'nutr demand all ages'!#REF!</f>
        <v>#REF!</v>
      </c>
      <c r="G20" s="16" t="s">
        <v>129</v>
      </c>
      <c r="H20" s="42" t="s">
        <v>124</v>
      </c>
      <c r="I20" s="16" t="e">
        <f t="shared" si="2"/>
        <v>#REF!</v>
      </c>
    </row>
    <row r="21" spans="1:10" ht="15" customHeight="1" x14ac:dyDescent="0.25">
      <c r="A21" s="43" t="s">
        <v>8</v>
      </c>
      <c r="B21" s="44"/>
      <c r="C21" s="44"/>
      <c r="D21" s="16" t="s">
        <v>101</v>
      </c>
      <c r="E21" s="16">
        <v>10</v>
      </c>
      <c r="F21" s="16">
        <v>10</v>
      </c>
      <c r="G21" s="42" t="s">
        <v>130</v>
      </c>
      <c r="H21" s="42" t="s">
        <v>126</v>
      </c>
      <c r="I21" s="16">
        <f t="shared" si="2"/>
        <v>0</v>
      </c>
    </row>
    <row r="22" spans="1:10" ht="29.25" customHeight="1" x14ac:dyDescent="0.25">
      <c r="A22" s="28" t="s">
        <v>9</v>
      </c>
      <c r="B22" s="28"/>
      <c r="C22" s="40"/>
      <c r="D22" s="16" t="s">
        <v>131</v>
      </c>
      <c r="E22" s="41">
        <f>'nutr demand all ages'!G102</f>
        <v>3</v>
      </c>
      <c r="F22" s="41" t="e">
        <f>'nutr demand all ages'!#REF!</f>
        <v>#REF!</v>
      </c>
      <c r="G22" s="42" t="s">
        <v>129</v>
      </c>
      <c r="H22" s="42" t="s">
        <v>124</v>
      </c>
      <c r="I22" s="16" t="e">
        <f t="shared" si="2"/>
        <v>#REF!</v>
      </c>
    </row>
    <row r="23" spans="1:10" x14ac:dyDescent="0.25">
      <c r="A23" s="45" t="s">
        <v>10</v>
      </c>
      <c r="B23" s="45"/>
      <c r="C23" s="46"/>
      <c r="D23" s="16" t="s">
        <v>101</v>
      </c>
      <c r="E23" s="16">
        <v>150</v>
      </c>
      <c r="F23" s="16">
        <v>150</v>
      </c>
      <c r="G23" s="47" t="s">
        <v>132</v>
      </c>
      <c r="H23" s="47" t="s">
        <v>126</v>
      </c>
      <c r="I23" s="16">
        <f t="shared" si="2"/>
        <v>0</v>
      </c>
      <c r="J23" s="16" t="s">
        <v>133</v>
      </c>
    </row>
    <row r="24" spans="1:10" x14ac:dyDescent="0.25">
      <c r="A24" s="28" t="s">
        <v>103</v>
      </c>
      <c r="B24" s="28"/>
      <c r="C24" s="40"/>
      <c r="D24" s="42" t="s">
        <v>26</v>
      </c>
      <c r="E24" s="42">
        <v>0.2</v>
      </c>
      <c r="F24" s="42">
        <v>0.2</v>
      </c>
      <c r="G24" s="42" t="s">
        <v>134</v>
      </c>
      <c r="H24" s="42" t="s">
        <v>135</v>
      </c>
      <c r="I24" s="16">
        <f t="shared" si="2"/>
        <v>0</v>
      </c>
    </row>
    <row r="25" spans="1:10" x14ac:dyDescent="0.25">
      <c r="A25" s="45" t="s">
        <v>104</v>
      </c>
      <c r="B25" s="45"/>
      <c r="C25" s="46"/>
      <c r="D25" s="42" t="s">
        <v>26</v>
      </c>
      <c r="E25" s="42">
        <v>0.4</v>
      </c>
      <c r="F25" s="42">
        <v>0.4</v>
      </c>
      <c r="G25" s="42" t="s">
        <v>134</v>
      </c>
      <c r="H25" s="42" t="s">
        <v>135</v>
      </c>
      <c r="I25" s="16">
        <f t="shared" si="2"/>
        <v>0</v>
      </c>
    </row>
    <row r="26" spans="1:10" x14ac:dyDescent="0.25">
      <c r="A26" s="28" t="s">
        <v>14</v>
      </c>
      <c r="B26" s="28"/>
      <c r="C26" s="40"/>
      <c r="D26" s="42" t="s">
        <v>26</v>
      </c>
      <c r="E26" s="42">
        <v>0.2</v>
      </c>
      <c r="F26" s="42">
        <v>0.2</v>
      </c>
      <c r="G26" s="42" t="s">
        <v>136</v>
      </c>
      <c r="H26" s="42" t="s">
        <v>135</v>
      </c>
      <c r="I26" s="16">
        <f t="shared" si="2"/>
        <v>0</v>
      </c>
      <c r="J26" s="16" t="s">
        <v>137</v>
      </c>
    </row>
    <row r="27" spans="1:10" x14ac:dyDescent="0.25">
      <c r="A27" s="45" t="s">
        <v>15</v>
      </c>
      <c r="B27" s="45"/>
      <c r="C27" s="46"/>
      <c r="D27" s="42" t="s">
        <v>101</v>
      </c>
      <c r="E27" s="42">
        <v>0.5</v>
      </c>
      <c r="F27" s="42">
        <v>0.5</v>
      </c>
      <c r="G27" s="42" t="s">
        <v>136</v>
      </c>
      <c r="H27" s="42" t="s">
        <v>135</v>
      </c>
      <c r="I27" s="16">
        <f t="shared" si="2"/>
        <v>0</v>
      </c>
    </row>
    <row r="28" spans="1:10" x14ac:dyDescent="0.25">
      <c r="A28" s="28" t="s">
        <v>105</v>
      </c>
      <c r="B28" s="28"/>
      <c r="C28" s="40"/>
      <c r="D28" s="42" t="s">
        <v>26</v>
      </c>
      <c r="E28" s="42">
        <v>2</v>
      </c>
      <c r="F28" s="42">
        <v>2</v>
      </c>
      <c r="G28" s="42" t="s">
        <v>134</v>
      </c>
      <c r="H28" s="42" t="s">
        <v>135</v>
      </c>
      <c r="I28" s="16">
        <f t="shared" si="2"/>
        <v>0</v>
      </c>
    </row>
    <row r="29" spans="1:10" x14ac:dyDescent="0.25">
      <c r="A29" s="45" t="s">
        <v>107</v>
      </c>
      <c r="B29" s="45"/>
      <c r="C29" s="46"/>
      <c r="D29" s="42" t="s">
        <v>101</v>
      </c>
      <c r="E29" s="42">
        <v>50</v>
      </c>
      <c r="F29" s="42">
        <v>50</v>
      </c>
      <c r="G29" s="42" t="s">
        <v>136</v>
      </c>
      <c r="H29" s="42" t="s">
        <v>135</v>
      </c>
      <c r="I29" s="16">
        <f t="shared" si="2"/>
        <v>0</v>
      </c>
    </row>
    <row r="30" spans="1:10" x14ac:dyDescent="0.25">
      <c r="A30" s="28" t="s">
        <v>108</v>
      </c>
      <c r="B30" s="28"/>
      <c r="C30" s="40"/>
      <c r="D30" s="42" t="s">
        <v>26</v>
      </c>
      <c r="E30" s="42">
        <v>2</v>
      </c>
      <c r="F30" s="42">
        <v>2</v>
      </c>
      <c r="G30" s="42" t="s">
        <v>134</v>
      </c>
      <c r="H30" s="42" t="s">
        <v>126</v>
      </c>
      <c r="I30" s="16">
        <f t="shared" si="2"/>
        <v>0</v>
      </c>
    </row>
    <row r="31" spans="1:10" x14ac:dyDescent="0.25">
      <c r="A31" s="45" t="s">
        <v>109</v>
      </c>
      <c r="B31" s="45"/>
      <c r="C31" s="46"/>
      <c r="D31" s="42" t="s">
        <v>101</v>
      </c>
      <c r="E31" s="42">
        <v>5</v>
      </c>
      <c r="F31" s="42">
        <v>5</v>
      </c>
      <c r="G31" s="42" t="s">
        <v>138</v>
      </c>
      <c r="H31" s="42" t="s">
        <v>126</v>
      </c>
      <c r="I31" s="16">
        <f t="shared" si="2"/>
        <v>0</v>
      </c>
    </row>
    <row r="32" spans="1:10" x14ac:dyDescent="0.25">
      <c r="A32" s="28" t="s">
        <v>23</v>
      </c>
      <c r="B32" s="28"/>
      <c r="C32" s="40"/>
      <c r="D32" s="42" t="s">
        <v>26</v>
      </c>
      <c r="E32" s="41">
        <f>'nutr demand all ages'!G112</f>
        <v>20</v>
      </c>
      <c r="F32" s="41" t="e">
        <f>'nutr demand all ages'!#REF!</f>
        <v>#REF!</v>
      </c>
      <c r="G32" s="42" t="s">
        <v>129</v>
      </c>
      <c r="H32" s="42" t="s">
        <v>124</v>
      </c>
      <c r="I32" s="16" t="e">
        <f t="shared" si="2"/>
        <v>#REF!</v>
      </c>
    </row>
    <row r="33" spans="1:9" x14ac:dyDescent="0.25">
      <c r="D33" s="42"/>
      <c r="E33" s="42"/>
      <c r="F33" s="42"/>
      <c r="G33" s="42"/>
      <c r="H33" s="42"/>
      <c r="I33" s="16">
        <f t="shared" si="2"/>
        <v>0</v>
      </c>
    </row>
    <row r="34" spans="1:9" ht="15" x14ac:dyDescent="0.25">
      <c r="A34" s="295" t="s">
        <v>112</v>
      </c>
      <c r="B34" s="295"/>
      <c r="C34" s="48"/>
      <c r="D34" s="42"/>
      <c r="E34" s="42"/>
      <c r="F34" s="42"/>
      <c r="G34" s="42"/>
      <c r="H34" s="42"/>
      <c r="I34" s="16">
        <f t="shared" si="2"/>
        <v>0</v>
      </c>
    </row>
    <row r="35" spans="1:9" x14ac:dyDescent="0.25">
      <c r="A35" s="28" t="s">
        <v>32</v>
      </c>
      <c r="B35" s="28"/>
      <c r="C35" s="40" t="s">
        <v>118</v>
      </c>
      <c r="D35" s="42" t="s">
        <v>131</v>
      </c>
      <c r="E35" s="42">
        <v>210</v>
      </c>
      <c r="F35" s="42">
        <v>210</v>
      </c>
      <c r="G35" s="42" t="s">
        <v>134</v>
      </c>
      <c r="H35" s="42" t="s">
        <v>126</v>
      </c>
      <c r="I35" s="16">
        <f t="shared" si="2"/>
        <v>0</v>
      </c>
    </row>
    <row r="36" spans="1:9" x14ac:dyDescent="0.25">
      <c r="A36" s="49" t="s">
        <v>34</v>
      </c>
      <c r="B36" s="49"/>
      <c r="C36" s="50"/>
      <c r="D36" s="42" t="s">
        <v>131</v>
      </c>
      <c r="E36" s="41">
        <f>'nutr demand all ages'!G115</f>
        <v>420</v>
      </c>
      <c r="F36" s="41" t="e">
        <f>'nutr demand all ages'!#REF!</f>
        <v>#REF!</v>
      </c>
      <c r="G36" s="42" t="s">
        <v>129</v>
      </c>
      <c r="H36" s="42" t="s">
        <v>124</v>
      </c>
      <c r="I36" s="16" t="e">
        <f t="shared" si="2"/>
        <v>#REF!</v>
      </c>
    </row>
    <row r="37" spans="1:9" x14ac:dyDescent="0.25">
      <c r="A37" s="28" t="s">
        <v>36</v>
      </c>
      <c r="B37" s="28"/>
      <c r="C37" s="40"/>
      <c r="D37" s="42" t="s">
        <v>131</v>
      </c>
      <c r="E37" s="41">
        <f>'nutr demand all ages'!G116</f>
        <v>80</v>
      </c>
      <c r="F37" s="41" t="e">
        <f>'nutr demand all ages'!#REF!</f>
        <v>#REF!</v>
      </c>
      <c r="G37" s="42" t="s">
        <v>129</v>
      </c>
      <c r="H37" s="42" t="s">
        <v>124</v>
      </c>
      <c r="I37" s="16" t="e">
        <f t="shared" si="2"/>
        <v>#REF!</v>
      </c>
    </row>
    <row r="38" spans="1:9" x14ac:dyDescent="0.25">
      <c r="A38" s="49" t="s">
        <v>38</v>
      </c>
      <c r="B38" s="49"/>
      <c r="C38" s="50"/>
      <c r="D38" s="42" t="s">
        <v>131</v>
      </c>
      <c r="E38" s="41">
        <f>'nutr demand all ages'!G117</f>
        <v>8</v>
      </c>
      <c r="F38" s="41" t="e">
        <f>'nutr demand all ages'!#REF!</f>
        <v>#REF!</v>
      </c>
      <c r="G38" s="42" t="s">
        <v>129</v>
      </c>
      <c r="H38" s="42" t="s">
        <v>124</v>
      </c>
      <c r="I38" s="16" t="e">
        <f t="shared" si="2"/>
        <v>#REF!</v>
      </c>
    </row>
    <row r="39" spans="1:9" x14ac:dyDescent="0.25">
      <c r="A39" s="28" t="s">
        <v>40</v>
      </c>
      <c r="B39" s="28"/>
      <c r="C39" s="40"/>
      <c r="D39" s="42" t="s">
        <v>131</v>
      </c>
      <c r="E39" s="41">
        <f>'nutr demand all ages'!G118</f>
        <v>5</v>
      </c>
      <c r="F39" s="41" t="e">
        <f>'nutr demand all ages'!#REF!</f>
        <v>#REF!</v>
      </c>
      <c r="G39" s="42" t="s">
        <v>129</v>
      </c>
      <c r="H39" s="42" t="s">
        <v>124</v>
      </c>
      <c r="I39" s="16" t="e">
        <f t="shared" si="2"/>
        <v>#REF!</v>
      </c>
    </row>
    <row r="40" spans="1:9" x14ac:dyDescent="0.25">
      <c r="A40" s="49" t="s">
        <v>42</v>
      </c>
      <c r="B40" s="49"/>
      <c r="C40" s="50"/>
      <c r="D40" s="42" t="s">
        <v>131</v>
      </c>
      <c r="E40" s="41">
        <f>'nutr demand all ages'!G119</f>
        <v>0.5</v>
      </c>
      <c r="F40" s="41" t="e">
        <f>'nutr demand all ages'!#REF!</f>
        <v>#REF!</v>
      </c>
      <c r="G40" s="42" t="s">
        <v>139</v>
      </c>
      <c r="H40" s="42" t="s">
        <v>126</v>
      </c>
      <c r="I40" s="16" t="e">
        <f t="shared" si="2"/>
        <v>#REF!</v>
      </c>
    </row>
    <row r="41" spans="1:9" x14ac:dyDescent="0.25">
      <c r="A41" s="28" t="s">
        <v>45</v>
      </c>
      <c r="B41" s="28"/>
      <c r="C41" s="40"/>
      <c r="D41" s="42" t="s">
        <v>131</v>
      </c>
      <c r="E41" s="41">
        <f>'nutr demand all ages'!G120</f>
        <v>0.3</v>
      </c>
      <c r="F41" s="41" t="e">
        <f>'nutr demand all ages'!#REF!</f>
        <v>#REF!</v>
      </c>
      <c r="G41" s="42" t="s">
        <v>129</v>
      </c>
      <c r="H41" s="42" t="s">
        <v>124</v>
      </c>
      <c r="I41" s="16" t="e">
        <f t="shared" si="2"/>
        <v>#REF!</v>
      </c>
    </row>
    <row r="42" spans="1:9" x14ac:dyDescent="0.25">
      <c r="A42" s="49" t="s">
        <v>47</v>
      </c>
      <c r="B42" s="49"/>
      <c r="C42" s="50"/>
      <c r="D42" s="42" t="s">
        <v>128</v>
      </c>
      <c r="E42" s="41">
        <f>'nutr demand all ages'!G121</f>
        <v>50</v>
      </c>
      <c r="F42" s="41" t="e">
        <f>'nutr demand all ages'!#REF!</f>
        <v>#REF!</v>
      </c>
      <c r="G42" s="42" t="s">
        <v>129</v>
      </c>
      <c r="H42" s="42" t="s">
        <v>124</v>
      </c>
      <c r="I42" s="16" t="e">
        <f t="shared" si="2"/>
        <v>#REF!</v>
      </c>
    </row>
    <row r="43" spans="1:9" x14ac:dyDescent="0.25">
      <c r="A43" s="28" t="s">
        <v>49</v>
      </c>
      <c r="B43" s="28"/>
      <c r="C43" s="40"/>
      <c r="D43" s="42" t="s">
        <v>128</v>
      </c>
      <c r="E43" s="41">
        <f>'nutr demand all ages'!G122</f>
        <v>10</v>
      </c>
      <c r="F43" s="41" t="e">
        <f>'nutr demand all ages'!#REF!</f>
        <v>#REF!</v>
      </c>
      <c r="G43" s="42" t="s">
        <v>139</v>
      </c>
      <c r="H43" s="42" t="s">
        <v>126</v>
      </c>
      <c r="I43" s="16" t="e">
        <f t="shared" si="2"/>
        <v>#REF!</v>
      </c>
    </row>
    <row r="44" spans="1:9" x14ac:dyDescent="0.25">
      <c r="A44" s="49" t="s">
        <v>51</v>
      </c>
      <c r="B44" s="49"/>
      <c r="C44" s="50"/>
      <c r="D44" s="42" t="s">
        <v>128</v>
      </c>
      <c r="E44" s="41">
        <f>'nutr demand all ages'!G123</f>
        <v>5.5</v>
      </c>
      <c r="F44" s="41" t="e">
        <f>'nutr demand all ages'!#REF!</f>
        <v>#REF!</v>
      </c>
      <c r="G44" s="42" t="s">
        <v>140</v>
      </c>
      <c r="H44" s="42" t="s">
        <v>126</v>
      </c>
      <c r="I44" s="16" t="e">
        <f t="shared" si="2"/>
        <v>#REF!</v>
      </c>
    </row>
    <row r="45" spans="1:9" x14ac:dyDescent="0.25">
      <c r="A45" s="28" t="s">
        <v>53</v>
      </c>
      <c r="B45" s="28"/>
      <c r="C45" s="40"/>
      <c r="D45" s="42" t="s">
        <v>128</v>
      </c>
      <c r="E45" s="41">
        <f>'nutr demand all ages'!G124</f>
        <v>15</v>
      </c>
      <c r="F45" s="41" t="e">
        <f>'nutr demand all ages'!#REF!</f>
        <v>#REF!</v>
      </c>
      <c r="G45" s="42" t="s">
        <v>129</v>
      </c>
      <c r="H45" s="42" t="s">
        <v>124</v>
      </c>
      <c r="I45" s="16" t="e">
        <f t="shared" si="2"/>
        <v>#REF!</v>
      </c>
    </row>
    <row r="46" spans="1:9" x14ac:dyDescent="0.25">
      <c r="A46" s="49" t="s">
        <v>55</v>
      </c>
      <c r="B46" s="49"/>
      <c r="C46" s="50"/>
      <c r="D46" s="42" t="s">
        <v>141</v>
      </c>
      <c r="E46" s="41"/>
      <c r="F46" s="41"/>
      <c r="G46" s="42" t="s">
        <v>142</v>
      </c>
      <c r="H46" s="42" t="s">
        <v>143</v>
      </c>
      <c r="I46" s="16">
        <f t="shared" si="2"/>
        <v>0</v>
      </c>
    </row>
    <row r="47" spans="1:9" ht="27" customHeight="1" x14ac:dyDescent="0.25">
      <c r="A47" s="28" t="s">
        <v>57</v>
      </c>
      <c r="B47" s="28"/>
      <c r="C47" s="40"/>
      <c r="D47" s="42" t="s">
        <v>131</v>
      </c>
      <c r="E47" s="41">
        <f>'nutr demand all ages'!G126</f>
        <v>1100</v>
      </c>
      <c r="F47" s="41" t="e">
        <f>'nutr demand all ages'!#REF!</f>
        <v>#REF!</v>
      </c>
      <c r="G47" s="42" t="s">
        <v>129</v>
      </c>
      <c r="H47" s="51" t="s">
        <v>124</v>
      </c>
      <c r="I47" s="16" t="e">
        <f t="shared" si="2"/>
        <v>#REF!</v>
      </c>
    </row>
    <row r="48" spans="1:9" x14ac:dyDescent="0.25">
      <c r="A48" s="49" t="s">
        <v>60</v>
      </c>
      <c r="B48" s="49"/>
      <c r="C48" s="50"/>
      <c r="D48" s="42" t="s">
        <v>141</v>
      </c>
      <c r="E48" s="41"/>
      <c r="F48" s="41"/>
      <c r="G48" s="42" t="s">
        <v>144</v>
      </c>
      <c r="H48" s="42" t="s">
        <v>126</v>
      </c>
      <c r="I48" s="16">
        <f>F48-E48</f>
        <v>0</v>
      </c>
    </row>
    <row r="53" spans="5:5" ht="193.2" x14ac:dyDescent="0.25">
      <c r="E53" s="24" t="s">
        <v>145</v>
      </c>
    </row>
    <row r="54" spans="5:5" x14ac:dyDescent="0.25">
      <c r="E54" s="16" t="s">
        <v>146</v>
      </c>
    </row>
  </sheetData>
  <mergeCells count="2">
    <mergeCell ref="A34:B34"/>
    <mergeCell ref="A4:B4"/>
  </mergeCells>
  <pageMargins left="0.7" right="0.7" top="0.75" bottom="0.75" header="0.3" footer="0.3"/>
  <extLst>
    <ext xmlns:mx="http://schemas.microsoft.com/office/mac/excel/2008/main" uri="{64002731-A6B0-56B0-2670-7721B7C09600}">
      <mx:PLV Mode="0" OnePage="0" WScale="0"/>
    </ext>
  </extLst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4BFC12B-6D00-457E-9F7C-FABE5583D3AF}">
  <dimension ref="B1:E17"/>
  <sheetViews>
    <sheetView workbookViewId="0">
      <selection activeCell="B9" sqref="B9"/>
    </sheetView>
  </sheetViews>
  <sheetFormatPr defaultRowHeight="14.4" x14ac:dyDescent="0.3"/>
  <cols>
    <col min="2" max="2" width="25.44140625" customWidth="1"/>
    <col min="4" max="4" width="13" customWidth="1"/>
    <col min="5" max="5" width="23.33203125" bestFit="1" customWidth="1"/>
  </cols>
  <sheetData>
    <row r="1" spans="2:5" x14ac:dyDescent="0.3">
      <c r="C1" s="118" t="s">
        <v>147</v>
      </c>
      <c r="D1" s="118" t="s">
        <v>148</v>
      </c>
      <c r="E1" s="118" t="s">
        <v>149</v>
      </c>
    </row>
    <row r="2" spans="2:5" x14ac:dyDescent="0.3">
      <c r="B2" t="str">
        <f>List_Validations_Cross_Ref!A3</f>
        <v>0,25 kcal/ml (=1 maatschepje per 90ml)</v>
      </c>
      <c r="C2" s="121">
        <v>0.25</v>
      </c>
      <c r="D2" s="121">
        <v>1</v>
      </c>
      <c r="E2" s="121">
        <v>95</v>
      </c>
    </row>
    <row r="3" spans="2:5" x14ac:dyDescent="0.3">
      <c r="B3" t="str">
        <f>List_Validations_Cross_Ref!A4</f>
        <v>0,50 kcal/ml (=2 maatschepjes per 90ml)</v>
      </c>
      <c r="C3" s="121">
        <v>0.5</v>
      </c>
      <c r="D3" s="121">
        <v>2</v>
      </c>
      <c r="E3" s="121">
        <v>178</v>
      </c>
    </row>
    <row r="4" spans="2:5" x14ac:dyDescent="0.3">
      <c r="B4" t="str">
        <f>List_Validations_Cross_Ref!A5</f>
        <v>0,75 kcal/ml (=3 maatschepjes per 90ml)</v>
      </c>
      <c r="C4" s="121">
        <v>0.75</v>
      </c>
      <c r="D4" s="121">
        <v>3</v>
      </c>
      <c r="E4" s="121">
        <v>261</v>
      </c>
    </row>
    <row r="5" spans="2:5" x14ac:dyDescent="0.3">
      <c r="C5" s="121">
        <v>0.85</v>
      </c>
      <c r="D5" s="121"/>
      <c r="E5" s="121"/>
    </row>
    <row r="6" spans="2:5" x14ac:dyDescent="0.3">
      <c r="C6" s="121">
        <v>0.87</v>
      </c>
      <c r="D6" s="121"/>
      <c r="E6" s="121"/>
    </row>
    <row r="7" spans="2:5" x14ac:dyDescent="0.3">
      <c r="B7" t="str">
        <f>List_Validations_Cross_Ref!A6</f>
        <v>1 kcal/ml (=4 maatschepjes per 90ml)</v>
      </c>
      <c r="C7" s="121">
        <v>1</v>
      </c>
      <c r="D7" s="121">
        <v>4</v>
      </c>
      <c r="E7" s="121">
        <v>340</v>
      </c>
    </row>
    <row r="8" spans="2:5" x14ac:dyDescent="0.3">
      <c r="C8" s="121">
        <v>1.1200000000000001</v>
      </c>
      <c r="D8" s="121"/>
      <c r="E8" s="121"/>
    </row>
    <row r="9" spans="2:5" x14ac:dyDescent="0.3">
      <c r="B9" t="str">
        <f>List_Validations_Cross_Ref!A7</f>
        <v>1,22 kcal/ml (=5 maatschepjes per 90ml)</v>
      </c>
      <c r="C9" s="121">
        <v>1.22</v>
      </c>
      <c r="D9" s="121">
        <v>5</v>
      </c>
      <c r="E9" s="121">
        <v>498</v>
      </c>
    </row>
    <row r="10" spans="2:5" x14ac:dyDescent="0.3">
      <c r="C10" s="121">
        <v>1.36</v>
      </c>
      <c r="D10" s="121"/>
      <c r="E10" s="121"/>
    </row>
    <row r="11" spans="2:5" x14ac:dyDescent="0.3">
      <c r="C11" s="121">
        <v>1.37</v>
      </c>
      <c r="D11" s="121"/>
      <c r="E11" s="121"/>
    </row>
    <row r="12" spans="2:5" x14ac:dyDescent="0.3">
      <c r="B12" t="str">
        <f>List_Validations_Cross_Ref!A8</f>
        <v>1,50 kcal/ml (=6 maatschepjes per 90ml)</v>
      </c>
      <c r="C12" s="121">
        <v>1.5</v>
      </c>
      <c r="D12" s="121">
        <v>6</v>
      </c>
      <c r="E12" s="121">
        <v>650</v>
      </c>
    </row>
    <row r="15" spans="2:5" x14ac:dyDescent="0.3">
      <c r="C15" t="s">
        <v>150</v>
      </c>
      <c r="D15" t="s">
        <v>151</v>
      </c>
      <c r="E15" t="s">
        <v>152</v>
      </c>
    </row>
    <row r="16" spans="2:5" x14ac:dyDescent="0.3">
      <c r="C16">
        <v>100</v>
      </c>
      <c r="D16">
        <v>4</v>
      </c>
      <c r="E16">
        <v>20</v>
      </c>
    </row>
    <row r="17" spans="4:5" x14ac:dyDescent="0.3">
      <c r="D17">
        <v>1</v>
      </c>
      <c r="E17">
        <v>5</v>
      </c>
    </row>
  </sheetData>
  <pageMargins left="0.7" right="0.7" top="0.75" bottom="0.75" header="0.3" footer="0.3"/>
</worksheet>
</file>

<file path=xl/worksheets/sheet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BBF02FB-F5B9-40D7-B7A9-D8290DD0B408}">
  <dimension ref="A1:D7"/>
  <sheetViews>
    <sheetView workbookViewId="0">
      <selection activeCell="B9" sqref="B9"/>
    </sheetView>
  </sheetViews>
  <sheetFormatPr defaultRowHeight="14.4" x14ac:dyDescent="0.3"/>
  <cols>
    <col min="1" max="1" width="13.6640625" customWidth="1"/>
    <col min="2" max="2" width="30.6640625" customWidth="1"/>
    <col min="3" max="3" width="14.5546875" customWidth="1"/>
  </cols>
  <sheetData>
    <row r="1" spans="1:4" ht="148.94999999999999" customHeight="1" x14ac:dyDescent="0.3">
      <c r="A1" s="183" t="s">
        <v>86</v>
      </c>
      <c r="C1">
        <f>INDEX($D$4:$D$7,MATCH($A$1,$B$4:$B$7,0))</f>
        <v>3</v>
      </c>
    </row>
    <row r="4" spans="1:4" s="183" customFormat="1" ht="73.95" customHeight="1" x14ac:dyDescent="0.3">
      <c r="B4" s="183" t="s">
        <v>4</v>
      </c>
      <c r="D4" s="183">
        <v>1</v>
      </c>
    </row>
    <row r="5" spans="1:4" s="183" customFormat="1" ht="73.95" customHeight="1" x14ac:dyDescent="0.3">
      <c r="B5" s="183" t="s">
        <v>84</v>
      </c>
      <c r="D5" s="183">
        <v>2</v>
      </c>
    </row>
    <row r="6" spans="1:4" s="183" customFormat="1" ht="73.95" customHeight="1" x14ac:dyDescent="0.3">
      <c r="B6" s="183" t="s">
        <v>86</v>
      </c>
      <c r="D6" s="183">
        <v>3</v>
      </c>
    </row>
    <row r="7" spans="1:4" s="183" customFormat="1" ht="73.95" customHeight="1" x14ac:dyDescent="0.3">
      <c r="B7" s="183" t="s">
        <v>87</v>
      </c>
      <c r="D7" s="183">
        <v>4</v>
      </c>
    </row>
  </sheetData>
  <pageMargins left="0.7" right="0.7" top="0.75" bottom="0.75" header="0.3" footer="0.3"/>
  <drawing r:id="rId1"/>
  <legacyDrawing r:id="rId2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600-000000000000}">
  <sheetPr codeName="Sheet6"/>
  <dimension ref="A1:M254"/>
  <sheetViews>
    <sheetView topLeftCell="A34" zoomScale="70" zoomScaleNormal="70" workbookViewId="0">
      <selection activeCell="B9" sqref="B9"/>
    </sheetView>
  </sheetViews>
  <sheetFormatPr defaultColWidth="8.88671875" defaultRowHeight="13.8" x14ac:dyDescent="0.25"/>
  <cols>
    <col min="1" max="1" width="26.6640625" style="16" customWidth="1"/>
    <col min="2" max="2" width="15" style="16" customWidth="1"/>
    <col min="3" max="3" width="26.6640625" style="16" customWidth="1"/>
    <col min="4" max="4" width="2.88671875" style="145" customWidth="1"/>
    <col min="5" max="5" width="8.88671875" style="16"/>
    <col min="6" max="6" width="7" style="16" customWidth="1"/>
    <col min="7" max="7" width="22.6640625" style="128" customWidth="1"/>
    <col min="8" max="8" width="22.6640625" style="16" customWidth="1"/>
    <col min="9" max="10" width="8.88671875" style="16"/>
    <col min="11" max="11" width="92.44140625" style="24" customWidth="1"/>
    <col min="12" max="12" width="55.44140625" style="16" customWidth="1"/>
    <col min="13" max="16384" width="8.88671875" style="16"/>
  </cols>
  <sheetData>
    <row r="1" spans="1:11" ht="82.8" x14ac:dyDescent="0.25">
      <c r="K1" s="24" t="s">
        <v>153</v>
      </c>
    </row>
    <row r="2" spans="1:11" ht="15" x14ac:dyDescent="0.25">
      <c r="A2" s="131" t="s">
        <v>154</v>
      </c>
      <c r="B2" s="153" t="s">
        <v>155</v>
      </c>
      <c r="C2" s="153" t="s">
        <v>156</v>
      </c>
      <c r="D2" s="146"/>
      <c r="E2" s="131" t="s">
        <v>157</v>
      </c>
      <c r="F2" s="131" t="s">
        <v>158</v>
      </c>
      <c r="G2" s="132" t="s">
        <v>159</v>
      </c>
      <c r="H2" s="131" t="s">
        <v>160</v>
      </c>
      <c r="I2" s="131" t="s">
        <v>161</v>
      </c>
      <c r="K2" s="16"/>
    </row>
    <row r="3" spans="1:11" ht="16.5" customHeight="1" x14ac:dyDescent="0.25">
      <c r="A3" s="126" t="s">
        <v>162</v>
      </c>
      <c r="B3" s="139" t="s">
        <v>163</v>
      </c>
      <c r="C3" s="147"/>
      <c r="D3" s="147"/>
      <c r="E3" s="140"/>
      <c r="F3" s="140"/>
      <c r="G3" s="141"/>
      <c r="H3" s="140"/>
      <c r="I3" s="140"/>
    </row>
    <row r="4" spans="1:11" ht="16.5" customHeight="1" x14ac:dyDescent="0.25">
      <c r="A4" s="126" t="s">
        <v>162</v>
      </c>
      <c r="B4" s="135" t="s">
        <v>37</v>
      </c>
      <c r="C4" s="148" t="str">
        <f>CONCATENATE(A4,B4)</f>
        <v>Jongen 0-5 maandenEiwit</v>
      </c>
      <c r="D4" s="148"/>
      <c r="E4" s="16" t="s">
        <v>123</v>
      </c>
      <c r="F4" s="16" t="s">
        <v>164</v>
      </c>
      <c r="G4" s="136">
        <v>10</v>
      </c>
      <c r="H4" s="16" t="s">
        <v>121</v>
      </c>
      <c r="I4" s="16" t="s">
        <v>124</v>
      </c>
    </row>
    <row r="5" spans="1:11" ht="16.5" customHeight="1" x14ac:dyDescent="0.25">
      <c r="A5" s="126" t="s">
        <v>162</v>
      </c>
      <c r="B5" s="68" t="s">
        <v>39</v>
      </c>
      <c r="C5" s="148" t="str">
        <f t="shared" ref="C5:C68" si="0">CONCATENATE(A5,B5)</f>
        <v>Jongen 0-5 maandenVetten</v>
      </c>
      <c r="D5" s="148"/>
      <c r="G5" s="136"/>
    </row>
    <row r="6" spans="1:11" ht="16.5" customHeight="1" x14ac:dyDescent="0.25">
      <c r="A6" s="126" t="s">
        <v>162</v>
      </c>
      <c r="B6" s="68" t="s">
        <v>98</v>
      </c>
      <c r="C6" s="148" t="str">
        <f t="shared" si="0"/>
        <v>Jongen 0-5 maandenLCT</v>
      </c>
      <c r="D6" s="148"/>
      <c r="G6" s="136"/>
    </row>
    <row r="7" spans="1:11" ht="16.5" customHeight="1" x14ac:dyDescent="0.25">
      <c r="A7" s="126" t="s">
        <v>162</v>
      </c>
      <c r="B7" s="68" t="s">
        <v>41</v>
      </c>
      <c r="C7" s="148" t="str">
        <f t="shared" si="0"/>
        <v>Jongen 0-5 maandenMCT</v>
      </c>
      <c r="D7" s="148"/>
      <c r="G7" s="136"/>
    </row>
    <row r="8" spans="1:11" ht="16.5" customHeight="1" x14ac:dyDescent="0.25">
      <c r="A8" s="126" t="s">
        <v>162</v>
      </c>
      <c r="B8" s="19" t="s">
        <v>48</v>
      </c>
      <c r="C8" s="148" t="str">
        <f t="shared" si="0"/>
        <v>Jongen 0-5 maandenDHA</v>
      </c>
      <c r="D8" s="148"/>
      <c r="G8" s="136"/>
    </row>
    <row r="9" spans="1:11" ht="16.5" customHeight="1" x14ac:dyDescent="0.25">
      <c r="A9" s="126" t="s">
        <v>162</v>
      </c>
      <c r="B9" s="19" t="s">
        <v>50</v>
      </c>
      <c r="C9" s="148" t="str">
        <f t="shared" si="0"/>
        <v>Jongen 0-5 maandenAA</v>
      </c>
      <c r="D9" s="148"/>
      <c r="G9" s="136"/>
    </row>
    <row r="10" spans="1:11" ht="16.5" customHeight="1" x14ac:dyDescent="0.25">
      <c r="A10" s="126" t="s">
        <v>162</v>
      </c>
      <c r="B10" s="68" t="s">
        <v>44</v>
      </c>
      <c r="C10" s="148" t="str">
        <f t="shared" si="0"/>
        <v>Jongen 0-5 maandenlinolzuur</v>
      </c>
      <c r="D10" s="148"/>
      <c r="E10" s="16" t="s">
        <v>125</v>
      </c>
      <c r="F10" s="16" t="s">
        <v>165</v>
      </c>
      <c r="G10" s="136">
        <v>0.6</v>
      </c>
      <c r="H10" s="16" t="s">
        <v>121</v>
      </c>
      <c r="I10" s="16" t="s">
        <v>126</v>
      </c>
    </row>
    <row r="11" spans="1:11" ht="16.5" customHeight="1" x14ac:dyDescent="0.25">
      <c r="A11" s="126" t="s">
        <v>162</v>
      </c>
      <c r="B11" s="68" t="s">
        <v>46</v>
      </c>
      <c r="C11" s="148" t="str">
        <f t="shared" si="0"/>
        <v>Jongen 0-5 maandenα-linoleenzuur</v>
      </c>
      <c r="D11" s="148"/>
      <c r="E11" s="16" t="s">
        <v>125</v>
      </c>
      <c r="F11" s="16" t="s">
        <v>165</v>
      </c>
      <c r="G11" s="136">
        <v>0.8</v>
      </c>
      <c r="H11" s="16" t="s">
        <v>121</v>
      </c>
      <c r="I11" s="16" t="s">
        <v>126</v>
      </c>
    </row>
    <row r="12" spans="1:11" ht="16.5" customHeight="1" x14ac:dyDescent="0.25">
      <c r="A12" s="126" t="s">
        <v>162</v>
      </c>
      <c r="B12" s="68" t="s">
        <v>52</v>
      </c>
      <c r="C12" s="148" t="str">
        <f t="shared" si="0"/>
        <v>Jongen 0-5 maandenKoolhydraten</v>
      </c>
      <c r="D12" s="148"/>
      <c r="E12" s="16" t="s">
        <v>125</v>
      </c>
      <c r="F12" s="16" t="s">
        <v>165</v>
      </c>
      <c r="G12" s="136">
        <v>10</v>
      </c>
      <c r="H12" s="16" t="s">
        <v>121</v>
      </c>
      <c r="I12" s="16" t="s">
        <v>126</v>
      </c>
    </row>
    <row r="13" spans="1:11" ht="16.5" customHeight="1" x14ac:dyDescent="0.25">
      <c r="A13" s="126" t="s">
        <v>162</v>
      </c>
      <c r="B13" s="68" t="s">
        <v>54</v>
      </c>
      <c r="C13" s="148" t="str">
        <f t="shared" si="0"/>
        <v>Jongen 0-5 maandenVezels</v>
      </c>
      <c r="D13" s="148"/>
      <c r="G13" s="136"/>
    </row>
    <row r="14" spans="1:11" ht="16.5" customHeight="1" x14ac:dyDescent="0.25">
      <c r="A14" s="126" t="s">
        <v>162</v>
      </c>
      <c r="B14" s="16" t="s">
        <v>56</v>
      </c>
      <c r="C14" s="148" t="str">
        <f t="shared" si="0"/>
        <v>Jongen 0-5 maandenVocht</v>
      </c>
      <c r="D14" s="148"/>
      <c r="G14" s="136"/>
    </row>
    <row r="15" spans="1:11" ht="16.5" customHeight="1" x14ac:dyDescent="0.25">
      <c r="A15" s="126" t="s">
        <v>162</v>
      </c>
      <c r="B15" s="139" t="s">
        <v>99</v>
      </c>
      <c r="C15" s="147" t="str">
        <f t="shared" si="0"/>
        <v>Jongen 0-5 maandenVITAMINS</v>
      </c>
      <c r="D15" s="147"/>
      <c r="E15" s="140"/>
      <c r="F15" s="140"/>
      <c r="G15" s="141"/>
      <c r="H15" s="140"/>
      <c r="I15" s="140"/>
    </row>
    <row r="16" spans="1:11" ht="16.5" customHeight="1" x14ac:dyDescent="0.25">
      <c r="A16" s="126" t="s">
        <v>162</v>
      </c>
      <c r="B16" s="68" t="s">
        <v>7</v>
      </c>
      <c r="C16" s="148" t="str">
        <f t="shared" si="0"/>
        <v>Jongen 0-5 maandenA</v>
      </c>
      <c r="D16" s="148"/>
      <c r="E16" s="16" t="s">
        <v>128</v>
      </c>
      <c r="F16" s="16" t="s">
        <v>164</v>
      </c>
      <c r="G16" s="134"/>
      <c r="H16" s="16" t="s">
        <v>129</v>
      </c>
      <c r="I16" s="16" t="s">
        <v>124</v>
      </c>
    </row>
    <row r="17" spans="1:9" ht="16.5" customHeight="1" x14ac:dyDescent="0.25">
      <c r="A17" s="126" t="s">
        <v>162</v>
      </c>
      <c r="B17" s="137" t="s">
        <v>8</v>
      </c>
      <c r="C17" s="148" t="str">
        <f t="shared" si="0"/>
        <v>Jongen 0-5 maandenD</v>
      </c>
      <c r="D17" s="148"/>
      <c r="E17" s="16" t="s">
        <v>101</v>
      </c>
      <c r="F17" s="16" t="s">
        <v>164</v>
      </c>
      <c r="G17" s="136">
        <v>10</v>
      </c>
      <c r="H17" s="16" t="s">
        <v>130</v>
      </c>
      <c r="I17" s="16" t="s">
        <v>126</v>
      </c>
    </row>
    <row r="18" spans="1:9" ht="16.5" customHeight="1" x14ac:dyDescent="0.25">
      <c r="A18" s="126" t="s">
        <v>162</v>
      </c>
      <c r="B18" s="68" t="s">
        <v>9</v>
      </c>
      <c r="C18" s="148" t="str">
        <f t="shared" si="0"/>
        <v>Jongen 0-5 maandenE</v>
      </c>
      <c r="D18" s="148"/>
      <c r="E18" s="16" t="s">
        <v>131</v>
      </c>
      <c r="F18" s="16" t="s">
        <v>164</v>
      </c>
      <c r="G18" s="134"/>
      <c r="H18" s="16" t="s">
        <v>129</v>
      </c>
      <c r="I18" s="16" t="s">
        <v>124</v>
      </c>
    </row>
    <row r="19" spans="1:9" ht="16.5" customHeight="1" x14ac:dyDescent="0.25">
      <c r="A19" s="126" t="s">
        <v>162</v>
      </c>
      <c r="B19" s="68" t="s">
        <v>10</v>
      </c>
      <c r="C19" s="148" t="str">
        <f t="shared" si="0"/>
        <v>Jongen 0-5 maandenK</v>
      </c>
      <c r="D19" s="148"/>
      <c r="E19" s="16" t="s">
        <v>101</v>
      </c>
      <c r="F19" s="16" t="s">
        <v>164</v>
      </c>
      <c r="G19" s="136">
        <v>150</v>
      </c>
      <c r="H19" s="16" t="s">
        <v>132</v>
      </c>
      <c r="I19" s="16" t="s">
        <v>126</v>
      </c>
    </row>
    <row r="20" spans="1:9" ht="16.5" customHeight="1" x14ac:dyDescent="0.25">
      <c r="A20" s="126" t="s">
        <v>162</v>
      </c>
      <c r="B20" s="68" t="s">
        <v>103</v>
      </c>
      <c r="C20" s="148" t="str">
        <f t="shared" si="0"/>
        <v>Jongen 0-5 maandenthiamine</v>
      </c>
      <c r="D20" s="148"/>
      <c r="E20" s="42" t="s">
        <v>26</v>
      </c>
      <c r="F20" s="16" t="s">
        <v>164</v>
      </c>
      <c r="G20" s="138">
        <v>0.2</v>
      </c>
      <c r="H20" s="16" t="s">
        <v>134</v>
      </c>
      <c r="I20" s="16" t="s">
        <v>135</v>
      </c>
    </row>
    <row r="21" spans="1:9" ht="16.5" customHeight="1" x14ac:dyDescent="0.25">
      <c r="A21" s="126" t="s">
        <v>162</v>
      </c>
      <c r="B21" s="68" t="s">
        <v>104</v>
      </c>
      <c r="C21" s="148" t="str">
        <f t="shared" si="0"/>
        <v>Jongen 0-5 maandenriboflavine</v>
      </c>
      <c r="D21" s="148"/>
      <c r="E21" s="42" t="s">
        <v>26</v>
      </c>
      <c r="F21" s="16" t="s">
        <v>164</v>
      </c>
      <c r="G21" s="138">
        <v>0.4</v>
      </c>
      <c r="H21" s="16" t="s">
        <v>134</v>
      </c>
      <c r="I21" s="16" t="s">
        <v>135</v>
      </c>
    </row>
    <row r="22" spans="1:9" ht="16.5" customHeight="1" x14ac:dyDescent="0.25">
      <c r="A22" s="126" t="s">
        <v>162</v>
      </c>
      <c r="B22" s="68" t="s">
        <v>14</v>
      </c>
      <c r="C22" s="148" t="str">
        <f t="shared" si="0"/>
        <v>Jongen 0-5 maandenB6</v>
      </c>
      <c r="D22" s="148"/>
      <c r="E22" s="42" t="s">
        <v>26</v>
      </c>
      <c r="F22" s="16" t="s">
        <v>164</v>
      </c>
      <c r="G22" s="138">
        <v>0.2</v>
      </c>
      <c r="H22" s="16" t="s">
        <v>136</v>
      </c>
      <c r="I22" s="16" t="s">
        <v>135</v>
      </c>
    </row>
    <row r="23" spans="1:9" ht="16.5" customHeight="1" x14ac:dyDescent="0.25">
      <c r="A23" s="126" t="s">
        <v>162</v>
      </c>
      <c r="B23" s="68" t="s">
        <v>15</v>
      </c>
      <c r="C23" s="148" t="str">
        <f t="shared" si="0"/>
        <v>Jongen 0-5 maandenB12</v>
      </c>
      <c r="D23" s="148"/>
      <c r="E23" s="42" t="s">
        <v>101</v>
      </c>
      <c r="F23" s="16" t="s">
        <v>164</v>
      </c>
      <c r="G23" s="138">
        <v>0.5</v>
      </c>
      <c r="H23" s="16" t="s">
        <v>136</v>
      </c>
      <c r="I23" s="16" t="s">
        <v>135</v>
      </c>
    </row>
    <row r="24" spans="1:9" ht="16.5" customHeight="1" x14ac:dyDescent="0.25">
      <c r="A24" s="126" t="s">
        <v>162</v>
      </c>
      <c r="B24" s="68" t="s">
        <v>105</v>
      </c>
      <c r="C24" s="148" t="str">
        <f t="shared" si="0"/>
        <v>Jongen 0-5 maandenniacine</v>
      </c>
      <c r="D24" s="148"/>
      <c r="E24" s="42" t="s">
        <v>26</v>
      </c>
      <c r="F24" s="16" t="s">
        <v>164</v>
      </c>
      <c r="G24" s="138">
        <v>2</v>
      </c>
      <c r="H24" s="16" t="s">
        <v>134</v>
      </c>
      <c r="I24" s="16" t="s">
        <v>135</v>
      </c>
    </row>
    <row r="25" spans="1:9" ht="16.5" customHeight="1" x14ac:dyDescent="0.25">
      <c r="A25" s="126" t="s">
        <v>162</v>
      </c>
      <c r="B25" s="68" t="s">
        <v>107</v>
      </c>
      <c r="C25" s="148" t="str">
        <f t="shared" si="0"/>
        <v>Jongen 0-5 maandenfoliumzuur</v>
      </c>
      <c r="D25" s="148"/>
      <c r="E25" s="42" t="s">
        <v>101</v>
      </c>
      <c r="F25" s="16" t="s">
        <v>164</v>
      </c>
      <c r="G25" s="138">
        <v>50</v>
      </c>
      <c r="H25" s="16" t="s">
        <v>136</v>
      </c>
      <c r="I25" s="16" t="s">
        <v>135</v>
      </c>
    </row>
    <row r="26" spans="1:9" ht="16.5" customHeight="1" x14ac:dyDescent="0.25">
      <c r="A26" s="126" t="s">
        <v>162</v>
      </c>
      <c r="B26" s="68" t="s">
        <v>108</v>
      </c>
      <c r="C26" s="148" t="str">
        <f t="shared" si="0"/>
        <v>Jongen 0-5 maandenpantotheenzuur</v>
      </c>
      <c r="D26" s="148"/>
      <c r="E26" s="42" t="s">
        <v>26</v>
      </c>
      <c r="F26" s="16" t="s">
        <v>164</v>
      </c>
      <c r="G26" s="138">
        <v>2</v>
      </c>
      <c r="H26" s="16" t="s">
        <v>134</v>
      </c>
      <c r="I26" s="16" t="s">
        <v>126</v>
      </c>
    </row>
    <row r="27" spans="1:9" ht="16.5" customHeight="1" x14ac:dyDescent="0.25">
      <c r="A27" s="126" t="s">
        <v>162</v>
      </c>
      <c r="B27" s="68" t="s">
        <v>109</v>
      </c>
      <c r="C27" s="148" t="str">
        <f t="shared" si="0"/>
        <v>Jongen 0-5 maandenbiotine</v>
      </c>
      <c r="D27" s="148"/>
      <c r="E27" s="42" t="s">
        <v>101</v>
      </c>
      <c r="F27" s="16" t="s">
        <v>164</v>
      </c>
      <c r="G27" s="138">
        <v>5</v>
      </c>
      <c r="H27" s="16" t="s">
        <v>138</v>
      </c>
      <c r="I27" s="16" t="s">
        <v>126</v>
      </c>
    </row>
    <row r="28" spans="1:9" ht="16.5" customHeight="1" x14ac:dyDescent="0.25">
      <c r="A28" s="126" t="s">
        <v>162</v>
      </c>
      <c r="B28" s="68" t="s">
        <v>23</v>
      </c>
      <c r="C28" s="148" t="str">
        <f t="shared" si="0"/>
        <v>Jongen 0-5 maandenC</v>
      </c>
      <c r="D28" s="148"/>
      <c r="E28" s="42" t="s">
        <v>26</v>
      </c>
      <c r="F28" s="16" t="s">
        <v>164</v>
      </c>
      <c r="G28" s="134"/>
      <c r="H28" s="16" t="s">
        <v>129</v>
      </c>
      <c r="I28" s="16" t="s">
        <v>124</v>
      </c>
    </row>
    <row r="29" spans="1:9" ht="16.5" customHeight="1" x14ac:dyDescent="0.25">
      <c r="A29" s="126" t="s">
        <v>162</v>
      </c>
      <c r="B29" s="144" t="s">
        <v>112</v>
      </c>
      <c r="C29" s="147" t="str">
        <f t="shared" si="0"/>
        <v>Jongen 0-5 maandenMINERALS</v>
      </c>
      <c r="D29" s="147"/>
      <c r="E29" s="142"/>
      <c r="F29" s="142"/>
      <c r="G29" s="143"/>
      <c r="H29" s="140"/>
      <c r="I29" s="140"/>
    </row>
    <row r="30" spans="1:9" ht="16.5" customHeight="1" x14ac:dyDescent="0.25">
      <c r="A30" s="126" t="s">
        <v>162</v>
      </c>
      <c r="B30" s="68" t="s">
        <v>32</v>
      </c>
      <c r="C30" s="148" t="str">
        <f t="shared" si="0"/>
        <v>Jongen 0-5 maandenCa</v>
      </c>
      <c r="D30" s="148"/>
      <c r="E30" s="42" t="s">
        <v>131</v>
      </c>
      <c r="F30" s="16" t="s">
        <v>164</v>
      </c>
      <c r="G30" s="138">
        <v>210</v>
      </c>
      <c r="H30" s="16" t="s">
        <v>134</v>
      </c>
      <c r="I30" s="16" t="s">
        <v>126</v>
      </c>
    </row>
    <row r="31" spans="1:9" ht="16.5" customHeight="1" x14ac:dyDescent="0.25">
      <c r="A31" s="126" t="s">
        <v>162</v>
      </c>
      <c r="B31" s="68" t="s">
        <v>34</v>
      </c>
      <c r="C31" s="148" t="str">
        <f t="shared" si="0"/>
        <v>Jongen 0-5 maandenP</v>
      </c>
      <c r="D31" s="148"/>
      <c r="E31" s="42" t="s">
        <v>131</v>
      </c>
      <c r="F31" s="16" t="s">
        <v>164</v>
      </c>
      <c r="G31" s="134"/>
      <c r="H31" s="16" t="s">
        <v>129</v>
      </c>
      <c r="I31" s="16" t="s">
        <v>124</v>
      </c>
    </row>
    <row r="32" spans="1:9" ht="16.5" customHeight="1" x14ac:dyDescent="0.25">
      <c r="A32" s="126" t="s">
        <v>162</v>
      </c>
      <c r="B32" s="68" t="s">
        <v>36</v>
      </c>
      <c r="C32" s="148" t="str">
        <f t="shared" si="0"/>
        <v>Jongen 0-5 maandenMg</v>
      </c>
      <c r="D32" s="148"/>
      <c r="E32" s="42" t="s">
        <v>131</v>
      </c>
      <c r="F32" s="16" t="s">
        <v>164</v>
      </c>
      <c r="G32" s="134"/>
      <c r="H32" s="16" t="s">
        <v>129</v>
      </c>
      <c r="I32" s="16" t="s">
        <v>124</v>
      </c>
    </row>
    <row r="33" spans="1:9" ht="16.5" customHeight="1" x14ac:dyDescent="0.25">
      <c r="A33" s="126" t="s">
        <v>162</v>
      </c>
      <c r="B33" s="68" t="s">
        <v>38</v>
      </c>
      <c r="C33" s="148" t="str">
        <f t="shared" si="0"/>
        <v>Jongen 0-5 maandenFe</v>
      </c>
      <c r="D33" s="148"/>
      <c r="E33" s="42" t="s">
        <v>131</v>
      </c>
      <c r="F33" s="16" t="s">
        <v>164</v>
      </c>
      <c r="G33" s="134"/>
      <c r="H33" s="16" t="s">
        <v>129</v>
      </c>
      <c r="I33" s="16" t="s">
        <v>124</v>
      </c>
    </row>
    <row r="34" spans="1:9" ht="16.5" customHeight="1" x14ac:dyDescent="0.25">
      <c r="A34" s="126" t="s">
        <v>162</v>
      </c>
      <c r="B34" s="68" t="s">
        <v>40</v>
      </c>
      <c r="C34" s="148" t="str">
        <f t="shared" si="0"/>
        <v>Jongen 0-5 maandenZn</v>
      </c>
      <c r="D34" s="148"/>
      <c r="E34" s="42" t="s">
        <v>131</v>
      </c>
      <c r="F34" s="16" t="s">
        <v>164</v>
      </c>
      <c r="G34" s="134"/>
      <c r="H34" s="16" t="s">
        <v>129</v>
      </c>
      <c r="I34" s="16" t="s">
        <v>124</v>
      </c>
    </row>
    <row r="35" spans="1:9" ht="16.5" customHeight="1" x14ac:dyDescent="0.25">
      <c r="A35" s="126" t="s">
        <v>162</v>
      </c>
      <c r="B35" s="68" t="s">
        <v>42</v>
      </c>
      <c r="C35" s="148" t="str">
        <f t="shared" si="0"/>
        <v>Jongen 0-5 maandenMn</v>
      </c>
      <c r="D35" s="148"/>
      <c r="E35" s="42" t="s">
        <v>131</v>
      </c>
      <c r="F35" s="16" t="s">
        <v>164</v>
      </c>
      <c r="G35" s="134"/>
      <c r="H35" s="16" t="s">
        <v>139</v>
      </c>
      <c r="I35" s="16" t="s">
        <v>126</v>
      </c>
    </row>
    <row r="36" spans="1:9" ht="16.5" customHeight="1" x14ac:dyDescent="0.25">
      <c r="A36" s="126" t="s">
        <v>162</v>
      </c>
      <c r="B36" s="68" t="s">
        <v>45</v>
      </c>
      <c r="C36" s="148" t="str">
        <f t="shared" si="0"/>
        <v>Jongen 0-5 maandenCu</v>
      </c>
      <c r="D36" s="148"/>
      <c r="E36" s="42" t="s">
        <v>131</v>
      </c>
      <c r="F36" s="16" t="s">
        <v>164</v>
      </c>
      <c r="G36" s="134"/>
      <c r="H36" s="16" t="s">
        <v>129</v>
      </c>
      <c r="I36" s="16" t="s">
        <v>124</v>
      </c>
    </row>
    <row r="37" spans="1:9" ht="16.5" customHeight="1" x14ac:dyDescent="0.25">
      <c r="A37" s="126" t="s">
        <v>162</v>
      </c>
      <c r="B37" s="68" t="s">
        <v>47</v>
      </c>
      <c r="C37" s="148" t="str">
        <f t="shared" si="0"/>
        <v>Jongen 0-5 maandenI</v>
      </c>
      <c r="D37" s="148"/>
      <c r="E37" s="42" t="s">
        <v>128</v>
      </c>
      <c r="F37" s="16" t="s">
        <v>164</v>
      </c>
      <c r="G37" s="134"/>
      <c r="H37" s="16" t="s">
        <v>129</v>
      </c>
      <c r="I37" s="16" t="s">
        <v>124</v>
      </c>
    </row>
    <row r="38" spans="1:9" ht="16.5" customHeight="1" x14ac:dyDescent="0.25">
      <c r="A38" s="126" t="s">
        <v>162</v>
      </c>
      <c r="B38" s="68" t="s">
        <v>49</v>
      </c>
      <c r="C38" s="148" t="str">
        <f t="shared" si="0"/>
        <v>Jongen 0-5 maandenMo</v>
      </c>
      <c r="D38" s="148"/>
      <c r="E38" s="42" t="s">
        <v>128</v>
      </c>
      <c r="F38" s="16" t="s">
        <v>164</v>
      </c>
      <c r="G38" s="134"/>
      <c r="H38" s="16" t="s">
        <v>139</v>
      </c>
      <c r="I38" s="16" t="s">
        <v>126</v>
      </c>
    </row>
    <row r="39" spans="1:9" ht="16.5" customHeight="1" x14ac:dyDescent="0.25">
      <c r="A39" s="126" t="s">
        <v>162</v>
      </c>
      <c r="B39" s="68" t="s">
        <v>51</v>
      </c>
      <c r="C39" s="148" t="str">
        <f t="shared" si="0"/>
        <v>Jongen 0-5 maandenCr</v>
      </c>
      <c r="D39" s="148"/>
      <c r="E39" s="42" t="s">
        <v>128</v>
      </c>
      <c r="F39" s="16" t="s">
        <v>164</v>
      </c>
      <c r="G39" s="134">
        <v>0.2</v>
      </c>
      <c r="H39" s="16" t="s">
        <v>140</v>
      </c>
      <c r="I39" s="16" t="s">
        <v>126</v>
      </c>
    </row>
    <row r="40" spans="1:9" ht="16.5" customHeight="1" x14ac:dyDescent="0.25">
      <c r="A40" s="126" t="s">
        <v>162</v>
      </c>
      <c r="B40" s="68" t="s">
        <v>53</v>
      </c>
      <c r="C40" s="148" t="str">
        <f t="shared" si="0"/>
        <v>Jongen 0-5 maandenSe</v>
      </c>
      <c r="D40" s="148"/>
      <c r="E40" s="42" t="s">
        <v>128</v>
      </c>
      <c r="F40" s="16" t="s">
        <v>164</v>
      </c>
      <c r="G40" s="134"/>
      <c r="H40" s="16" t="s">
        <v>129</v>
      </c>
      <c r="I40" s="16" t="s">
        <v>124</v>
      </c>
    </row>
    <row r="41" spans="1:9" ht="16.5" customHeight="1" x14ac:dyDescent="0.25">
      <c r="A41" s="126" t="s">
        <v>162</v>
      </c>
      <c r="B41" s="68" t="s">
        <v>55</v>
      </c>
      <c r="C41" s="148" t="str">
        <f t="shared" si="0"/>
        <v>Jongen 0-5 maandenNa</v>
      </c>
      <c r="D41" s="148"/>
      <c r="E41" s="42" t="s">
        <v>141</v>
      </c>
      <c r="F41" s="16" t="s">
        <v>164</v>
      </c>
      <c r="G41" s="134"/>
      <c r="H41" s="16" t="s">
        <v>142</v>
      </c>
      <c r="I41" s="16" t="s">
        <v>143</v>
      </c>
    </row>
    <row r="42" spans="1:9" ht="16.5" customHeight="1" x14ac:dyDescent="0.25">
      <c r="A42" s="126" t="s">
        <v>162</v>
      </c>
      <c r="B42" s="68" t="s">
        <v>57</v>
      </c>
      <c r="C42" s="148" t="str">
        <f t="shared" si="0"/>
        <v xml:space="preserve">Jongen 0-5 maandenK </v>
      </c>
      <c r="D42" s="148"/>
      <c r="E42" s="42" t="s">
        <v>131</v>
      </c>
      <c r="F42" s="16" t="s">
        <v>164</v>
      </c>
      <c r="G42" s="134">
        <v>0</v>
      </c>
      <c r="H42" s="16" t="s">
        <v>129</v>
      </c>
      <c r="I42" s="16" t="s">
        <v>124</v>
      </c>
    </row>
    <row r="43" spans="1:9" ht="16.5" customHeight="1" x14ac:dyDescent="0.25">
      <c r="A43" s="126" t="s">
        <v>162</v>
      </c>
      <c r="B43" s="68" t="s">
        <v>60</v>
      </c>
      <c r="C43" s="148" t="str">
        <f t="shared" si="0"/>
        <v>Jongen 0-5 maandenCl</v>
      </c>
      <c r="D43" s="148"/>
      <c r="E43" s="42" t="s">
        <v>141</v>
      </c>
      <c r="F43" s="16" t="s">
        <v>164</v>
      </c>
      <c r="G43" s="134"/>
      <c r="H43" s="16" t="s">
        <v>144</v>
      </c>
      <c r="I43" s="16" t="s">
        <v>126</v>
      </c>
    </row>
    <row r="44" spans="1:9" ht="16.5" customHeight="1" x14ac:dyDescent="0.25">
      <c r="A44" s="127" t="s">
        <v>28</v>
      </c>
      <c r="B44" s="139" t="s">
        <v>163</v>
      </c>
      <c r="C44" s="147" t="str">
        <f t="shared" si="0"/>
        <v>Meisje 0-5 maandenMACRO</v>
      </c>
      <c r="D44" s="147"/>
      <c r="E44" s="140"/>
      <c r="F44" s="140"/>
      <c r="G44" s="141"/>
      <c r="H44" s="140"/>
      <c r="I44" s="140"/>
    </row>
    <row r="45" spans="1:9" ht="16.5" customHeight="1" x14ac:dyDescent="0.25">
      <c r="A45" s="127" t="s">
        <v>28</v>
      </c>
      <c r="B45" s="133" t="s">
        <v>35</v>
      </c>
      <c r="C45" s="148" t="str">
        <f t="shared" si="0"/>
        <v>Meisje 0-5 maandenEnergie</v>
      </c>
      <c r="D45" s="148"/>
      <c r="E45" s="16" t="s">
        <v>120</v>
      </c>
      <c r="F45" s="16" t="s">
        <v>165</v>
      </c>
      <c r="G45" s="134">
        <v>93.15</v>
      </c>
      <c r="H45" s="16" t="s">
        <v>121</v>
      </c>
      <c r="I45" s="16" t="s">
        <v>122</v>
      </c>
    </row>
    <row r="46" spans="1:9" ht="16.5" customHeight="1" x14ac:dyDescent="0.25">
      <c r="A46" s="127" t="s">
        <v>28</v>
      </c>
      <c r="B46" s="135" t="s">
        <v>37</v>
      </c>
      <c r="C46" s="148" t="str">
        <f t="shared" si="0"/>
        <v>Meisje 0-5 maandenEiwit</v>
      </c>
      <c r="D46" s="148"/>
      <c r="E46" s="16" t="s">
        <v>123</v>
      </c>
      <c r="F46" s="16" t="s">
        <v>164</v>
      </c>
      <c r="G46" s="136">
        <v>9</v>
      </c>
      <c r="H46" s="16" t="s">
        <v>121</v>
      </c>
      <c r="I46" s="16" t="s">
        <v>124</v>
      </c>
    </row>
    <row r="47" spans="1:9" ht="16.5" customHeight="1" x14ac:dyDescent="0.25">
      <c r="A47" s="127" t="s">
        <v>28</v>
      </c>
      <c r="B47" s="68" t="s">
        <v>39</v>
      </c>
      <c r="C47" s="148" t="str">
        <f t="shared" si="0"/>
        <v>Meisje 0-5 maandenVetten</v>
      </c>
      <c r="D47" s="148"/>
      <c r="G47" s="136"/>
    </row>
    <row r="48" spans="1:9" ht="16.5" customHeight="1" x14ac:dyDescent="0.25">
      <c r="A48" s="127" t="s">
        <v>28</v>
      </c>
      <c r="B48" s="68" t="s">
        <v>98</v>
      </c>
      <c r="C48" s="148" t="str">
        <f t="shared" si="0"/>
        <v>Meisje 0-5 maandenLCT</v>
      </c>
      <c r="D48" s="148"/>
      <c r="G48" s="136"/>
    </row>
    <row r="49" spans="1:9" ht="16.5" customHeight="1" x14ac:dyDescent="0.25">
      <c r="A49" s="127" t="s">
        <v>28</v>
      </c>
      <c r="B49" s="68" t="s">
        <v>41</v>
      </c>
      <c r="C49" s="148" t="str">
        <f t="shared" si="0"/>
        <v>Meisje 0-5 maandenMCT</v>
      </c>
      <c r="D49" s="148"/>
      <c r="G49" s="136"/>
    </row>
    <row r="50" spans="1:9" ht="16.5" customHeight="1" x14ac:dyDescent="0.25">
      <c r="A50" s="127" t="s">
        <v>28</v>
      </c>
      <c r="B50" s="19" t="s">
        <v>48</v>
      </c>
      <c r="C50" s="148" t="str">
        <f t="shared" si="0"/>
        <v>Meisje 0-5 maandenDHA</v>
      </c>
      <c r="D50" s="148"/>
      <c r="G50" s="136"/>
    </row>
    <row r="51" spans="1:9" ht="16.5" customHeight="1" x14ac:dyDescent="0.25">
      <c r="A51" s="127" t="s">
        <v>28</v>
      </c>
      <c r="B51" s="19" t="s">
        <v>50</v>
      </c>
      <c r="C51" s="148" t="str">
        <f t="shared" si="0"/>
        <v>Meisje 0-5 maandenAA</v>
      </c>
      <c r="D51" s="148"/>
      <c r="G51" s="136"/>
    </row>
    <row r="52" spans="1:9" ht="16.5" customHeight="1" x14ac:dyDescent="0.25">
      <c r="A52" s="127" t="s">
        <v>28</v>
      </c>
      <c r="B52" s="68" t="s">
        <v>44</v>
      </c>
      <c r="C52" s="148" t="str">
        <f t="shared" si="0"/>
        <v>Meisje 0-5 maandenlinolzuur</v>
      </c>
      <c r="D52" s="148"/>
      <c r="E52" s="16" t="s">
        <v>125</v>
      </c>
      <c r="F52" s="16" t="s">
        <v>165</v>
      </c>
      <c r="G52" s="136">
        <v>0.6</v>
      </c>
      <c r="H52" s="16" t="s">
        <v>121</v>
      </c>
      <c r="I52" s="16" t="s">
        <v>126</v>
      </c>
    </row>
    <row r="53" spans="1:9" ht="16.5" customHeight="1" x14ac:dyDescent="0.25">
      <c r="A53" s="127" t="s">
        <v>28</v>
      </c>
      <c r="B53" s="68" t="s">
        <v>46</v>
      </c>
      <c r="C53" s="148" t="str">
        <f t="shared" si="0"/>
        <v>Meisje 0-5 maandenα-linoleenzuur</v>
      </c>
      <c r="D53" s="148"/>
      <c r="E53" s="16" t="s">
        <v>125</v>
      </c>
      <c r="F53" s="16" t="s">
        <v>165</v>
      </c>
      <c r="G53" s="136">
        <v>0.8</v>
      </c>
      <c r="H53" s="16" t="s">
        <v>121</v>
      </c>
      <c r="I53" s="16" t="s">
        <v>126</v>
      </c>
    </row>
    <row r="54" spans="1:9" ht="16.5" customHeight="1" x14ac:dyDescent="0.25">
      <c r="A54" s="127" t="s">
        <v>28</v>
      </c>
      <c r="B54" s="68" t="s">
        <v>52</v>
      </c>
      <c r="C54" s="148" t="str">
        <f t="shared" si="0"/>
        <v>Meisje 0-5 maandenKoolhydraten</v>
      </c>
      <c r="D54" s="148"/>
      <c r="E54" s="16" t="s">
        <v>125</v>
      </c>
      <c r="F54" s="16" t="s">
        <v>165</v>
      </c>
      <c r="G54" s="136">
        <v>10</v>
      </c>
      <c r="H54" s="16" t="s">
        <v>121</v>
      </c>
      <c r="I54" s="16" t="s">
        <v>126</v>
      </c>
    </row>
    <row r="55" spans="1:9" ht="16.5" customHeight="1" x14ac:dyDescent="0.25">
      <c r="A55" s="127" t="s">
        <v>28</v>
      </c>
      <c r="B55" s="68" t="s">
        <v>54</v>
      </c>
      <c r="C55" s="148" t="str">
        <f t="shared" si="0"/>
        <v>Meisje 0-5 maandenVezels</v>
      </c>
      <c r="D55" s="148"/>
      <c r="G55" s="136"/>
    </row>
    <row r="56" spans="1:9" ht="16.5" customHeight="1" x14ac:dyDescent="0.25">
      <c r="A56" s="127" t="s">
        <v>28</v>
      </c>
      <c r="B56" s="16" t="s">
        <v>56</v>
      </c>
      <c r="C56" s="148" t="str">
        <f t="shared" si="0"/>
        <v>Meisje 0-5 maandenVocht</v>
      </c>
      <c r="D56" s="148"/>
      <c r="G56" s="136"/>
    </row>
    <row r="57" spans="1:9" ht="16.5" customHeight="1" x14ac:dyDescent="0.25">
      <c r="A57" s="127" t="s">
        <v>28</v>
      </c>
      <c r="B57" s="139" t="s">
        <v>99</v>
      </c>
      <c r="C57" s="147" t="str">
        <f t="shared" si="0"/>
        <v>Meisje 0-5 maandenVITAMINS</v>
      </c>
      <c r="D57" s="147"/>
      <c r="E57" s="140"/>
      <c r="F57" s="140"/>
      <c r="G57" s="141"/>
      <c r="H57" s="140"/>
      <c r="I57" s="140"/>
    </row>
    <row r="58" spans="1:9" ht="16.5" customHeight="1" x14ac:dyDescent="0.25">
      <c r="A58" s="127" t="s">
        <v>28</v>
      </c>
      <c r="B58" s="68" t="s">
        <v>7</v>
      </c>
      <c r="C58" s="148" t="str">
        <f t="shared" si="0"/>
        <v>Meisje 0-5 maandenA</v>
      </c>
      <c r="D58" s="148"/>
      <c r="E58" s="16" t="s">
        <v>128</v>
      </c>
      <c r="F58" s="16" t="s">
        <v>164</v>
      </c>
      <c r="G58" s="134"/>
      <c r="H58" s="16" t="s">
        <v>129</v>
      </c>
      <c r="I58" s="16" t="s">
        <v>124</v>
      </c>
    </row>
    <row r="59" spans="1:9" ht="16.5" customHeight="1" x14ac:dyDescent="0.25">
      <c r="A59" s="127" t="s">
        <v>28</v>
      </c>
      <c r="B59" s="137" t="s">
        <v>8</v>
      </c>
      <c r="C59" s="148" t="str">
        <f t="shared" si="0"/>
        <v>Meisje 0-5 maandenD</v>
      </c>
      <c r="D59" s="148"/>
      <c r="E59" s="16" t="s">
        <v>101</v>
      </c>
      <c r="F59" s="16" t="s">
        <v>164</v>
      </c>
      <c r="G59" s="136">
        <v>10</v>
      </c>
      <c r="H59" s="16" t="s">
        <v>130</v>
      </c>
      <c r="I59" s="16" t="s">
        <v>126</v>
      </c>
    </row>
    <row r="60" spans="1:9" ht="16.5" customHeight="1" x14ac:dyDescent="0.25">
      <c r="A60" s="127" t="s">
        <v>28</v>
      </c>
      <c r="B60" s="68" t="s">
        <v>9</v>
      </c>
      <c r="C60" s="148" t="str">
        <f t="shared" si="0"/>
        <v>Meisje 0-5 maandenE</v>
      </c>
      <c r="D60" s="148"/>
      <c r="E60" s="16" t="s">
        <v>131</v>
      </c>
      <c r="F60" s="16" t="s">
        <v>164</v>
      </c>
      <c r="G60" s="134"/>
      <c r="H60" s="16" t="s">
        <v>129</v>
      </c>
      <c r="I60" s="16" t="s">
        <v>124</v>
      </c>
    </row>
    <row r="61" spans="1:9" ht="16.5" customHeight="1" x14ac:dyDescent="0.25">
      <c r="A61" s="127" t="s">
        <v>28</v>
      </c>
      <c r="B61" s="68" t="s">
        <v>10</v>
      </c>
      <c r="C61" s="148" t="str">
        <f t="shared" si="0"/>
        <v>Meisje 0-5 maandenK</v>
      </c>
      <c r="D61" s="148"/>
      <c r="E61" s="16" t="s">
        <v>101</v>
      </c>
      <c r="F61" s="16" t="s">
        <v>164</v>
      </c>
      <c r="G61" s="136">
        <v>150</v>
      </c>
      <c r="H61" s="16" t="s">
        <v>132</v>
      </c>
      <c r="I61" s="16" t="s">
        <v>126</v>
      </c>
    </row>
    <row r="62" spans="1:9" ht="16.5" customHeight="1" x14ac:dyDescent="0.25">
      <c r="A62" s="127" t="s">
        <v>28</v>
      </c>
      <c r="B62" s="68" t="s">
        <v>103</v>
      </c>
      <c r="C62" s="148" t="str">
        <f t="shared" si="0"/>
        <v>Meisje 0-5 maandenthiamine</v>
      </c>
      <c r="D62" s="148"/>
      <c r="E62" s="42" t="s">
        <v>26</v>
      </c>
      <c r="F62" s="16" t="s">
        <v>164</v>
      </c>
      <c r="G62" s="138">
        <v>0.2</v>
      </c>
      <c r="H62" s="16" t="s">
        <v>134</v>
      </c>
      <c r="I62" s="16" t="s">
        <v>135</v>
      </c>
    </row>
    <row r="63" spans="1:9" ht="16.5" customHeight="1" x14ac:dyDescent="0.25">
      <c r="A63" s="127" t="s">
        <v>28</v>
      </c>
      <c r="B63" s="68" t="s">
        <v>104</v>
      </c>
      <c r="C63" s="148" t="str">
        <f t="shared" si="0"/>
        <v>Meisje 0-5 maandenriboflavine</v>
      </c>
      <c r="D63" s="148"/>
      <c r="E63" s="42" t="s">
        <v>26</v>
      </c>
      <c r="F63" s="16" t="s">
        <v>164</v>
      </c>
      <c r="G63" s="138">
        <v>0.4</v>
      </c>
      <c r="H63" s="16" t="s">
        <v>134</v>
      </c>
      <c r="I63" s="16" t="s">
        <v>135</v>
      </c>
    </row>
    <row r="64" spans="1:9" ht="16.5" customHeight="1" x14ac:dyDescent="0.25">
      <c r="A64" s="127" t="s">
        <v>28</v>
      </c>
      <c r="B64" s="68" t="s">
        <v>14</v>
      </c>
      <c r="C64" s="148" t="str">
        <f t="shared" si="0"/>
        <v>Meisje 0-5 maandenB6</v>
      </c>
      <c r="D64" s="148"/>
      <c r="E64" s="42" t="s">
        <v>26</v>
      </c>
      <c r="F64" s="16" t="s">
        <v>164</v>
      </c>
      <c r="G64" s="138">
        <v>0.2</v>
      </c>
      <c r="H64" s="16" t="s">
        <v>136</v>
      </c>
      <c r="I64" s="16" t="s">
        <v>135</v>
      </c>
    </row>
    <row r="65" spans="1:9" ht="16.5" customHeight="1" x14ac:dyDescent="0.25">
      <c r="A65" s="127" t="s">
        <v>28</v>
      </c>
      <c r="B65" s="68" t="s">
        <v>15</v>
      </c>
      <c r="C65" s="148" t="str">
        <f t="shared" si="0"/>
        <v>Meisje 0-5 maandenB12</v>
      </c>
      <c r="D65" s="148"/>
      <c r="E65" s="42" t="s">
        <v>101</v>
      </c>
      <c r="F65" s="16" t="s">
        <v>164</v>
      </c>
      <c r="G65" s="138">
        <v>0.5</v>
      </c>
      <c r="H65" s="16" t="s">
        <v>136</v>
      </c>
      <c r="I65" s="16" t="s">
        <v>135</v>
      </c>
    </row>
    <row r="66" spans="1:9" ht="16.5" customHeight="1" x14ac:dyDescent="0.25">
      <c r="A66" s="127" t="s">
        <v>28</v>
      </c>
      <c r="B66" s="68" t="s">
        <v>105</v>
      </c>
      <c r="C66" s="148" t="str">
        <f t="shared" si="0"/>
        <v>Meisje 0-5 maandenniacine</v>
      </c>
      <c r="D66" s="148"/>
      <c r="E66" s="42" t="s">
        <v>26</v>
      </c>
      <c r="F66" s="16" t="s">
        <v>164</v>
      </c>
      <c r="G66" s="138">
        <v>2</v>
      </c>
      <c r="H66" s="16" t="s">
        <v>134</v>
      </c>
      <c r="I66" s="16" t="s">
        <v>135</v>
      </c>
    </row>
    <row r="67" spans="1:9" ht="16.5" customHeight="1" x14ac:dyDescent="0.25">
      <c r="A67" s="127" t="s">
        <v>28</v>
      </c>
      <c r="B67" s="68" t="s">
        <v>107</v>
      </c>
      <c r="C67" s="148" t="str">
        <f t="shared" si="0"/>
        <v>Meisje 0-5 maandenfoliumzuur</v>
      </c>
      <c r="D67" s="148"/>
      <c r="E67" s="42" t="s">
        <v>101</v>
      </c>
      <c r="F67" s="16" t="s">
        <v>164</v>
      </c>
      <c r="G67" s="138">
        <v>50</v>
      </c>
      <c r="H67" s="16" t="s">
        <v>136</v>
      </c>
      <c r="I67" s="16" t="s">
        <v>135</v>
      </c>
    </row>
    <row r="68" spans="1:9" ht="16.5" customHeight="1" x14ac:dyDescent="0.25">
      <c r="A68" s="127" t="s">
        <v>28</v>
      </c>
      <c r="B68" s="68" t="s">
        <v>108</v>
      </c>
      <c r="C68" s="148" t="str">
        <f t="shared" si="0"/>
        <v>Meisje 0-5 maandenpantotheenzuur</v>
      </c>
      <c r="D68" s="148"/>
      <c r="E68" s="42" t="s">
        <v>26</v>
      </c>
      <c r="F68" s="16" t="s">
        <v>164</v>
      </c>
      <c r="G68" s="138">
        <v>2</v>
      </c>
      <c r="H68" s="16" t="s">
        <v>134</v>
      </c>
      <c r="I68" s="16" t="s">
        <v>126</v>
      </c>
    </row>
    <row r="69" spans="1:9" ht="16.5" customHeight="1" x14ac:dyDescent="0.25">
      <c r="A69" s="127" t="s">
        <v>28</v>
      </c>
      <c r="B69" s="68" t="s">
        <v>109</v>
      </c>
      <c r="C69" s="148" t="str">
        <f t="shared" ref="C69:C132" si="1">CONCATENATE(A69,B69)</f>
        <v>Meisje 0-5 maandenbiotine</v>
      </c>
      <c r="D69" s="148"/>
      <c r="E69" s="42" t="s">
        <v>101</v>
      </c>
      <c r="F69" s="16" t="s">
        <v>164</v>
      </c>
      <c r="G69" s="138">
        <v>5</v>
      </c>
      <c r="H69" s="16" t="s">
        <v>138</v>
      </c>
      <c r="I69" s="16" t="s">
        <v>126</v>
      </c>
    </row>
    <row r="70" spans="1:9" ht="16.5" customHeight="1" x14ac:dyDescent="0.25">
      <c r="A70" s="127" t="s">
        <v>28</v>
      </c>
      <c r="B70" s="68" t="s">
        <v>23</v>
      </c>
      <c r="C70" s="148" t="str">
        <f t="shared" si="1"/>
        <v>Meisje 0-5 maandenC</v>
      </c>
      <c r="D70" s="148"/>
      <c r="E70" s="42" t="s">
        <v>26</v>
      </c>
      <c r="F70" s="16" t="s">
        <v>164</v>
      </c>
      <c r="G70" s="134"/>
      <c r="H70" s="16" t="s">
        <v>129</v>
      </c>
      <c r="I70" s="16" t="s">
        <v>124</v>
      </c>
    </row>
    <row r="71" spans="1:9" ht="16.5" customHeight="1" x14ac:dyDescent="0.25">
      <c r="A71" s="127" t="s">
        <v>28</v>
      </c>
      <c r="B71" s="139" t="s">
        <v>112</v>
      </c>
      <c r="C71" s="147" t="str">
        <f t="shared" si="1"/>
        <v>Meisje 0-5 maandenMINERALS</v>
      </c>
      <c r="D71" s="147"/>
      <c r="E71" s="140"/>
      <c r="F71" s="140"/>
      <c r="G71" s="141"/>
      <c r="H71" s="140"/>
      <c r="I71" s="140"/>
    </row>
    <row r="72" spans="1:9" ht="16.5" customHeight="1" x14ac:dyDescent="0.25">
      <c r="A72" s="127" t="s">
        <v>28</v>
      </c>
      <c r="B72" s="68" t="s">
        <v>32</v>
      </c>
      <c r="C72" s="148" t="str">
        <f t="shared" si="1"/>
        <v>Meisje 0-5 maandenCa</v>
      </c>
      <c r="D72" s="148"/>
      <c r="E72" s="42" t="s">
        <v>131</v>
      </c>
      <c r="F72" s="16" t="s">
        <v>164</v>
      </c>
      <c r="G72" s="138">
        <v>210</v>
      </c>
      <c r="H72" s="16" t="s">
        <v>134</v>
      </c>
      <c r="I72" s="16" t="s">
        <v>126</v>
      </c>
    </row>
    <row r="73" spans="1:9" ht="16.5" customHeight="1" x14ac:dyDescent="0.25">
      <c r="A73" s="127" t="s">
        <v>28</v>
      </c>
      <c r="B73" s="68" t="s">
        <v>34</v>
      </c>
      <c r="C73" s="148" t="str">
        <f t="shared" si="1"/>
        <v>Meisje 0-5 maandenP</v>
      </c>
      <c r="D73" s="148"/>
      <c r="E73" s="42" t="s">
        <v>131</v>
      </c>
      <c r="F73" s="16" t="s">
        <v>164</v>
      </c>
      <c r="G73" s="134"/>
      <c r="H73" s="16" t="s">
        <v>129</v>
      </c>
      <c r="I73" s="16" t="s">
        <v>124</v>
      </c>
    </row>
    <row r="74" spans="1:9" ht="16.5" customHeight="1" x14ac:dyDescent="0.25">
      <c r="A74" s="127" t="s">
        <v>28</v>
      </c>
      <c r="B74" s="68" t="s">
        <v>36</v>
      </c>
      <c r="C74" s="148" t="str">
        <f t="shared" si="1"/>
        <v>Meisje 0-5 maandenMg</v>
      </c>
      <c r="D74" s="148"/>
      <c r="E74" s="42" t="s">
        <v>131</v>
      </c>
      <c r="F74" s="16" t="s">
        <v>164</v>
      </c>
      <c r="G74" s="134"/>
      <c r="H74" s="16" t="s">
        <v>129</v>
      </c>
      <c r="I74" s="16" t="s">
        <v>124</v>
      </c>
    </row>
    <row r="75" spans="1:9" ht="16.5" customHeight="1" x14ac:dyDescent="0.25">
      <c r="A75" s="127" t="s">
        <v>28</v>
      </c>
      <c r="B75" s="68" t="s">
        <v>38</v>
      </c>
      <c r="C75" s="148" t="str">
        <f t="shared" si="1"/>
        <v>Meisje 0-5 maandenFe</v>
      </c>
      <c r="D75" s="148"/>
      <c r="E75" s="42" t="s">
        <v>131</v>
      </c>
      <c r="F75" s="16" t="s">
        <v>164</v>
      </c>
      <c r="G75" s="134"/>
      <c r="H75" s="16" t="s">
        <v>129</v>
      </c>
      <c r="I75" s="16" t="s">
        <v>124</v>
      </c>
    </row>
    <row r="76" spans="1:9" ht="16.5" customHeight="1" x14ac:dyDescent="0.25">
      <c r="A76" s="127" t="s">
        <v>28</v>
      </c>
      <c r="B76" s="68" t="s">
        <v>40</v>
      </c>
      <c r="C76" s="148" t="str">
        <f t="shared" si="1"/>
        <v>Meisje 0-5 maandenZn</v>
      </c>
      <c r="D76" s="148"/>
      <c r="E76" s="42" t="s">
        <v>131</v>
      </c>
      <c r="F76" s="16" t="s">
        <v>164</v>
      </c>
      <c r="G76" s="134"/>
      <c r="H76" s="16" t="s">
        <v>129</v>
      </c>
      <c r="I76" s="16" t="s">
        <v>124</v>
      </c>
    </row>
    <row r="77" spans="1:9" ht="16.5" customHeight="1" x14ac:dyDescent="0.25">
      <c r="A77" s="127" t="s">
        <v>28</v>
      </c>
      <c r="B77" s="68" t="s">
        <v>42</v>
      </c>
      <c r="C77" s="148" t="str">
        <f t="shared" si="1"/>
        <v>Meisje 0-5 maandenMn</v>
      </c>
      <c r="D77" s="148"/>
      <c r="E77" s="42" t="s">
        <v>131</v>
      </c>
      <c r="F77" s="16" t="s">
        <v>164</v>
      </c>
      <c r="G77" s="134"/>
      <c r="H77" s="16" t="s">
        <v>139</v>
      </c>
      <c r="I77" s="16" t="s">
        <v>126</v>
      </c>
    </row>
    <row r="78" spans="1:9" ht="16.5" customHeight="1" x14ac:dyDescent="0.25">
      <c r="A78" s="127" t="s">
        <v>28</v>
      </c>
      <c r="B78" s="68" t="s">
        <v>45</v>
      </c>
      <c r="C78" s="148" t="str">
        <f t="shared" si="1"/>
        <v>Meisje 0-5 maandenCu</v>
      </c>
      <c r="D78" s="148"/>
      <c r="E78" s="42" t="s">
        <v>131</v>
      </c>
      <c r="F78" s="16" t="s">
        <v>164</v>
      </c>
      <c r="G78" s="134"/>
      <c r="H78" s="16" t="s">
        <v>129</v>
      </c>
      <c r="I78" s="16" t="s">
        <v>124</v>
      </c>
    </row>
    <row r="79" spans="1:9" ht="16.5" customHeight="1" x14ac:dyDescent="0.25">
      <c r="A79" s="127" t="s">
        <v>28</v>
      </c>
      <c r="B79" s="68" t="s">
        <v>47</v>
      </c>
      <c r="C79" s="148" t="str">
        <f t="shared" si="1"/>
        <v>Meisje 0-5 maandenI</v>
      </c>
      <c r="D79" s="148"/>
      <c r="E79" s="42" t="s">
        <v>128</v>
      </c>
      <c r="F79" s="16" t="s">
        <v>164</v>
      </c>
      <c r="G79" s="134"/>
      <c r="H79" s="16" t="s">
        <v>129</v>
      </c>
      <c r="I79" s="16" t="s">
        <v>124</v>
      </c>
    </row>
    <row r="80" spans="1:9" ht="16.5" customHeight="1" x14ac:dyDescent="0.25">
      <c r="A80" s="127" t="s">
        <v>28</v>
      </c>
      <c r="B80" s="68" t="s">
        <v>49</v>
      </c>
      <c r="C80" s="148" t="str">
        <f t="shared" si="1"/>
        <v>Meisje 0-5 maandenMo</v>
      </c>
      <c r="D80" s="148"/>
      <c r="E80" s="42" t="s">
        <v>128</v>
      </c>
      <c r="F80" s="16" t="s">
        <v>164</v>
      </c>
      <c r="G80" s="134"/>
      <c r="H80" s="16" t="s">
        <v>139</v>
      </c>
      <c r="I80" s="16" t="s">
        <v>126</v>
      </c>
    </row>
    <row r="81" spans="1:13" ht="16.5" customHeight="1" x14ac:dyDescent="0.25">
      <c r="A81" s="127" t="s">
        <v>28</v>
      </c>
      <c r="B81" s="68" t="s">
        <v>51</v>
      </c>
      <c r="C81" s="148" t="str">
        <f t="shared" si="1"/>
        <v>Meisje 0-5 maandenCr</v>
      </c>
      <c r="D81" s="148"/>
      <c r="E81" s="42" t="s">
        <v>128</v>
      </c>
      <c r="F81" s="16" t="s">
        <v>164</v>
      </c>
      <c r="G81" s="134">
        <v>0.2</v>
      </c>
      <c r="H81" s="16" t="s">
        <v>140</v>
      </c>
      <c r="I81" s="16" t="s">
        <v>126</v>
      </c>
    </row>
    <row r="82" spans="1:13" ht="16.5" customHeight="1" x14ac:dyDescent="0.25">
      <c r="A82" s="127" t="s">
        <v>28</v>
      </c>
      <c r="B82" s="68" t="s">
        <v>53</v>
      </c>
      <c r="C82" s="148" t="str">
        <f t="shared" si="1"/>
        <v>Meisje 0-5 maandenSe</v>
      </c>
      <c r="D82" s="148"/>
      <c r="E82" s="42" t="s">
        <v>128</v>
      </c>
      <c r="F82" s="16" t="s">
        <v>164</v>
      </c>
      <c r="G82" s="134"/>
      <c r="H82" s="16" t="s">
        <v>129</v>
      </c>
      <c r="I82" s="16" t="s">
        <v>124</v>
      </c>
    </row>
    <row r="83" spans="1:13" ht="16.5" customHeight="1" x14ac:dyDescent="0.25">
      <c r="A83" s="127" t="s">
        <v>28</v>
      </c>
      <c r="B83" s="68" t="s">
        <v>55</v>
      </c>
      <c r="C83" s="148" t="str">
        <f t="shared" si="1"/>
        <v>Meisje 0-5 maandenNa</v>
      </c>
      <c r="D83" s="148"/>
      <c r="E83" s="42" t="s">
        <v>141</v>
      </c>
      <c r="F83" s="16" t="s">
        <v>164</v>
      </c>
      <c r="G83" s="134"/>
      <c r="H83" s="16" t="s">
        <v>142</v>
      </c>
      <c r="I83" s="16" t="s">
        <v>143</v>
      </c>
    </row>
    <row r="84" spans="1:13" ht="16.5" customHeight="1" x14ac:dyDescent="0.25">
      <c r="A84" s="127" t="s">
        <v>28</v>
      </c>
      <c r="B84" s="68" t="s">
        <v>57</v>
      </c>
      <c r="C84" s="148" t="str">
        <f t="shared" si="1"/>
        <v xml:space="preserve">Meisje 0-5 maandenK </v>
      </c>
      <c r="D84" s="148"/>
      <c r="E84" s="42" t="s">
        <v>131</v>
      </c>
      <c r="F84" s="16" t="s">
        <v>164</v>
      </c>
      <c r="G84" s="134">
        <v>0</v>
      </c>
      <c r="H84" s="16" t="s">
        <v>129</v>
      </c>
      <c r="I84" s="16" t="s">
        <v>124</v>
      </c>
    </row>
    <row r="85" spans="1:13" ht="16.5" customHeight="1" x14ac:dyDescent="0.25">
      <c r="A85" s="127" t="s">
        <v>28</v>
      </c>
      <c r="B85" s="68" t="s">
        <v>60</v>
      </c>
      <c r="C85" s="148" t="str">
        <f t="shared" si="1"/>
        <v>Meisje 0-5 maandenCl</v>
      </c>
      <c r="D85" s="148"/>
      <c r="E85" s="42" t="s">
        <v>141</v>
      </c>
      <c r="F85" s="16" t="s">
        <v>164</v>
      </c>
      <c r="G85" s="134"/>
      <c r="H85" s="16" t="s">
        <v>144</v>
      </c>
      <c r="I85" s="16" t="s">
        <v>126</v>
      </c>
    </row>
    <row r="86" spans="1:13" ht="16.5" customHeight="1" x14ac:dyDescent="0.25">
      <c r="A86" s="125" t="s">
        <v>166</v>
      </c>
      <c r="B86" s="139"/>
      <c r="C86" s="147" t="str">
        <f t="shared" si="1"/>
        <v>Jongen 6-11 maanden</v>
      </c>
      <c r="D86" s="147"/>
      <c r="E86" s="140"/>
      <c r="F86" s="140"/>
      <c r="G86" s="141"/>
      <c r="H86" s="140"/>
      <c r="I86" s="140"/>
    </row>
    <row r="87" spans="1:13" x14ac:dyDescent="0.25">
      <c r="A87" s="125" t="s">
        <v>166</v>
      </c>
      <c r="B87" s="133" t="s">
        <v>35</v>
      </c>
      <c r="C87" s="149" t="str">
        <f t="shared" si="1"/>
        <v>Jongen 6-11 maandenEnergie</v>
      </c>
      <c r="D87" s="149"/>
      <c r="E87" s="16" t="s">
        <v>120</v>
      </c>
      <c r="F87" s="16" t="s">
        <v>165</v>
      </c>
      <c r="G87" s="136">
        <v>83.596063819600005</v>
      </c>
      <c r="H87" s="16" t="s">
        <v>121</v>
      </c>
      <c r="I87" s="16" t="s">
        <v>122</v>
      </c>
      <c r="K87" s="16"/>
    </row>
    <row r="88" spans="1:13" x14ac:dyDescent="0.25">
      <c r="A88" s="125" t="s">
        <v>166</v>
      </c>
      <c r="B88" s="135" t="s">
        <v>37</v>
      </c>
      <c r="C88" s="149" t="str">
        <f t="shared" si="1"/>
        <v>Jongen 6-11 maandenEiwit</v>
      </c>
      <c r="D88" s="149"/>
      <c r="E88" s="16" t="s">
        <v>123</v>
      </c>
      <c r="F88" s="16" t="s">
        <v>164</v>
      </c>
      <c r="G88" s="136">
        <v>10</v>
      </c>
      <c r="H88" s="16" t="s">
        <v>121</v>
      </c>
      <c r="I88" s="24" t="s">
        <v>124</v>
      </c>
    </row>
    <row r="89" spans="1:13" s="24" customFormat="1" ht="27.6" x14ac:dyDescent="0.25">
      <c r="A89" s="125" t="s">
        <v>166</v>
      </c>
      <c r="B89" s="68" t="s">
        <v>39</v>
      </c>
      <c r="C89" s="150" t="str">
        <f t="shared" si="1"/>
        <v>Jongen 6-11 maandenVetten</v>
      </c>
      <c r="D89" s="150"/>
      <c r="E89" s="16" t="s">
        <v>125</v>
      </c>
      <c r="F89" s="16" t="s">
        <v>165</v>
      </c>
      <c r="G89" s="136">
        <v>3.7149999999999999</v>
      </c>
      <c r="H89" s="16" t="s">
        <v>121</v>
      </c>
      <c r="I89" s="16" t="s">
        <v>126</v>
      </c>
      <c r="J89" s="16"/>
      <c r="L89" s="16"/>
      <c r="M89" s="16"/>
    </row>
    <row r="90" spans="1:13" s="24" customFormat="1" x14ac:dyDescent="0.25">
      <c r="A90" s="125" t="s">
        <v>166</v>
      </c>
      <c r="B90" s="68" t="s">
        <v>98</v>
      </c>
      <c r="C90" s="150" t="str">
        <f t="shared" si="1"/>
        <v>Jongen 6-11 maandenLCT</v>
      </c>
      <c r="D90" s="150"/>
      <c r="E90" s="16"/>
      <c r="F90" s="16"/>
      <c r="G90" s="136"/>
      <c r="H90" s="16"/>
      <c r="I90" s="16"/>
      <c r="J90" s="16"/>
      <c r="L90" s="16"/>
      <c r="M90" s="16"/>
    </row>
    <row r="91" spans="1:13" s="24" customFormat="1" x14ac:dyDescent="0.25">
      <c r="A91" s="125" t="s">
        <v>166</v>
      </c>
      <c r="B91" s="68" t="s">
        <v>41</v>
      </c>
      <c r="C91" s="150" t="str">
        <f t="shared" si="1"/>
        <v>Jongen 6-11 maandenMCT</v>
      </c>
      <c r="D91" s="150"/>
      <c r="E91" s="16"/>
      <c r="F91" s="16"/>
      <c r="G91" s="136"/>
      <c r="H91" s="16"/>
      <c r="I91" s="16"/>
      <c r="J91" s="16"/>
      <c r="L91" s="16"/>
      <c r="M91" s="16"/>
    </row>
    <row r="92" spans="1:13" s="24" customFormat="1" x14ac:dyDescent="0.25">
      <c r="A92" s="125" t="s">
        <v>166</v>
      </c>
      <c r="B92" s="68" t="s">
        <v>48</v>
      </c>
      <c r="C92" s="150" t="str">
        <f t="shared" si="1"/>
        <v>Jongen 6-11 maandenDHA</v>
      </c>
      <c r="D92" s="150"/>
      <c r="E92" s="16"/>
      <c r="F92" s="16"/>
      <c r="G92" s="136"/>
      <c r="H92" s="16"/>
      <c r="I92" s="16"/>
      <c r="J92" s="16"/>
      <c r="L92" s="16"/>
      <c r="M92" s="16"/>
    </row>
    <row r="93" spans="1:13" s="24" customFormat="1" x14ac:dyDescent="0.25">
      <c r="A93" s="125" t="s">
        <v>166</v>
      </c>
      <c r="B93" s="68" t="s">
        <v>50</v>
      </c>
      <c r="C93" s="150" t="str">
        <f t="shared" si="1"/>
        <v>Jongen 6-11 maandenAA</v>
      </c>
      <c r="D93" s="150"/>
      <c r="E93" s="16"/>
      <c r="F93" s="16"/>
      <c r="G93" s="136"/>
      <c r="H93" s="16"/>
      <c r="I93" s="16"/>
      <c r="J93" s="16"/>
      <c r="L93" s="16"/>
      <c r="M93" s="16"/>
    </row>
    <row r="94" spans="1:13" s="24" customFormat="1" x14ac:dyDescent="0.25">
      <c r="A94" s="125" t="s">
        <v>166</v>
      </c>
      <c r="B94" s="68" t="s">
        <v>44</v>
      </c>
      <c r="C94" s="149" t="str">
        <f t="shared" si="1"/>
        <v>Jongen 6-11 maandenlinolzuur</v>
      </c>
      <c r="D94" s="149"/>
      <c r="E94" s="16" t="s">
        <v>125</v>
      </c>
      <c r="F94" s="16" t="s">
        <v>165</v>
      </c>
      <c r="G94" s="136">
        <v>1.6719212763920002</v>
      </c>
      <c r="H94" s="16" t="s">
        <v>121</v>
      </c>
      <c r="I94" s="16" t="s">
        <v>126</v>
      </c>
      <c r="J94" s="16"/>
      <c r="L94" s="16"/>
      <c r="M94" s="16"/>
    </row>
    <row r="95" spans="1:13" s="24" customFormat="1" x14ac:dyDescent="0.25">
      <c r="A95" s="125" t="s">
        <v>166</v>
      </c>
      <c r="B95" s="68" t="s">
        <v>46</v>
      </c>
      <c r="C95" s="149" t="str">
        <f t="shared" si="1"/>
        <v>Jongen 6-11 maandenα-linoleenzuur</v>
      </c>
      <c r="D95" s="149"/>
      <c r="E95" s="16" t="s">
        <v>125</v>
      </c>
      <c r="F95" s="16" t="s">
        <v>165</v>
      </c>
      <c r="G95" s="136">
        <v>0.83596063819600008</v>
      </c>
      <c r="H95" s="16" t="s">
        <v>121</v>
      </c>
      <c r="I95" s="16" t="s">
        <v>126</v>
      </c>
      <c r="J95" s="16" t="s">
        <v>167</v>
      </c>
      <c r="L95" s="16"/>
      <c r="M95" s="16"/>
    </row>
    <row r="96" spans="1:13" s="24" customFormat="1" x14ac:dyDescent="0.25">
      <c r="A96" s="125" t="s">
        <v>166</v>
      </c>
      <c r="B96" s="68" t="s">
        <v>52</v>
      </c>
      <c r="C96" s="149" t="str">
        <f t="shared" si="1"/>
        <v>Jongen 6-11 maandenKoolhydraten</v>
      </c>
      <c r="D96" s="149"/>
      <c r="E96" s="16" t="s">
        <v>125</v>
      </c>
      <c r="F96" s="16" t="s">
        <v>165</v>
      </c>
      <c r="G96" s="136">
        <v>41.798031909800002</v>
      </c>
      <c r="H96" s="16" t="s">
        <v>121</v>
      </c>
      <c r="I96" s="16" t="s">
        <v>124</v>
      </c>
      <c r="J96" s="16"/>
      <c r="L96" s="16"/>
      <c r="M96" s="16"/>
    </row>
    <row r="97" spans="1:11" x14ac:dyDescent="0.25">
      <c r="A97" s="125" t="s">
        <v>166</v>
      </c>
      <c r="B97" s="68" t="s">
        <v>54</v>
      </c>
      <c r="C97" s="151" t="str">
        <f t="shared" si="1"/>
        <v>Jongen 6-11 maandenVezels</v>
      </c>
      <c r="D97" s="151"/>
      <c r="G97" s="136"/>
      <c r="H97" s="24"/>
    </row>
    <row r="98" spans="1:11" x14ac:dyDescent="0.25">
      <c r="A98" s="125" t="s">
        <v>166</v>
      </c>
      <c r="B98" s="16" t="s">
        <v>56</v>
      </c>
      <c r="C98" s="151" t="str">
        <f t="shared" si="1"/>
        <v>Jongen 6-11 maandenVocht</v>
      </c>
      <c r="D98" s="151"/>
      <c r="G98" s="136"/>
      <c r="H98" s="24"/>
    </row>
    <row r="99" spans="1:11" ht="15" x14ac:dyDescent="0.25">
      <c r="A99" s="125" t="s">
        <v>166</v>
      </c>
      <c r="B99" s="139" t="s">
        <v>99</v>
      </c>
      <c r="C99" s="147" t="str">
        <f t="shared" si="1"/>
        <v>Jongen 6-11 maandenVITAMINS</v>
      </c>
      <c r="D99" s="147"/>
      <c r="E99" s="140"/>
      <c r="F99" s="140"/>
      <c r="G99" s="141"/>
      <c r="H99" s="140"/>
      <c r="I99" s="140"/>
    </row>
    <row r="100" spans="1:11" x14ac:dyDescent="0.25">
      <c r="A100" s="125" t="s">
        <v>166</v>
      </c>
      <c r="B100" s="68" t="s">
        <v>7</v>
      </c>
      <c r="C100" s="152" t="str">
        <f t="shared" si="1"/>
        <v>Jongen 6-11 maandenA</v>
      </c>
      <c r="D100" s="152"/>
      <c r="E100" s="16" t="s">
        <v>101</v>
      </c>
      <c r="F100" s="16" t="s">
        <v>164</v>
      </c>
      <c r="G100" s="136">
        <v>300</v>
      </c>
      <c r="H100" s="16" t="s">
        <v>129</v>
      </c>
      <c r="I100" s="42" t="s">
        <v>124</v>
      </c>
    </row>
    <row r="101" spans="1:11" ht="15" customHeight="1" x14ac:dyDescent="0.25">
      <c r="A101" s="125" t="s">
        <v>166</v>
      </c>
      <c r="B101" s="137" t="s">
        <v>8</v>
      </c>
      <c r="C101" s="151" t="str">
        <f t="shared" si="1"/>
        <v>Jongen 6-11 maandenD</v>
      </c>
      <c r="D101" s="151"/>
      <c r="E101" s="16" t="s">
        <v>101</v>
      </c>
      <c r="F101" s="16" t="s">
        <v>164</v>
      </c>
      <c r="G101" s="136">
        <v>10</v>
      </c>
      <c r="H101" s="42" t="s">
        <v>130</v>
      </c>
      <c r="I101" s="42" t="s">
        <v>126</v>
      </c>
    </row>
    <row r="102" spans="1:11" ht="29.25" customHeight="1" x14ac:dyDescent="0.25">
      <c r="A102" s="125" t="s">
        <v>166</v>
      </c>
      <c r="B102" s="68" t="s">
        <v>9</v>
      </c>
      <c r="C102" s="152" t="str">
        <f t="shared" si="1"/>
        <v>Jongen 6-11 maandenE</v>
      </c>
      <c r="D102" s="152"/>
      <c r="E102" s="16" t="s">
        <v>26</v>
      </c>
      <c r="F102" s="16" t="s">
        <v>164</v>
      </c>
      <c r="G102" s="136">
        <v>3</v>
      </c>
      <c r="H102" s="42" t="s">
        <v>129</v>
      </c>
      <c r="I102" s="42" t="s">
        <v>124</v>
      </c>
    </row>
    <row r="103" spans="1:11" x14ac:dyDescent="0.25">
      <c r="A103" s="125" t="s">
        <v>166</v>
      </c>
      <c r="B103" s="68" t="s">
        <v>10</v>
      </c>
      <c r="C103" s="152" t="str">
        <f t="shared" si="1"/>
        <v>Jongen 6-11 maandenK</v>
      </c>
      <c r="D103" s="152"/>
      <c r="E103" s="16" t="s">
        <v>101</v>
      </c>
      <c r="F103" s="16" t="s">
        <v>164</v>
      </c>
      <c r="G103" s="136">
        <v>150</v>
      </c>
      <c r="H103" s="47" t="s">
        <v>132</v>
      </c>
      <c r="I103" s="47" t="s">
        <v>126</v>
      </c>
      <c r="K103" s="16" t="s">
        <v>133</v>
      </c>
    </row>
    <row r="104" spans="1:11" x14ac:dyDescent="0.25">
      <c r="A104" s="125" t="s">
        <v>166</v>
      </c>
      <c r="B104" s="68" t="s">
        <v>103</v>
      </c>
      <c r="C104" s="152" t="str">
        <f t="shared" si="1"/>
        <v>Jongen 6-11 maandenthiamine</v>
      </c>
      <c r="D104" s="152"/>
      <c r="E104" s="42" t="s">
        <v>26</v>
      </c>
      <c r="F104" s="16" t="s">
        <v>164</v>
      </c>
      <c r="G104" s="138">
        <v>0.2</v>
      </c>
      <c r="H104" s="42" t="s">
        <v>134</v>
      </c>
      <c r="I104" s="42" t="s">
        <v>135</v>
      </c>
    </row>
    <row r="105" spans="1:11" x14ac:dyDescent="0.25">
      <c r="A105" s="125" t="s">
        <v>166</v>
      </c>
      <c r="B105" s="68" t="s">
        <v>104</v>
      </c>
      <c r="C105" s="152" t="str">
        <f t="shared" si="1"/>
        <v>Jongen 6-11 maandenriboflavine</v>
      </c>
      <c r="D105" s="152"/>
      <c r="E105" s="42" t="s">
        <v>26</v>
      </c>
      <c r="F105" s="16" t="s">
        <v>164</v>
      </c>
      <c r="G105" s="138">
        <v>0.4</v>
      </c>
      <c r="H105" s="42" t="s">
        <v>134</v>
      </c>
      <c r="I105" s="42" t="s">
        <v>135</v>
      </c>
    </row>
    <row r="106" spans="1:11" x14ac:dyDescent="0.25">
      <c r="A106" s="125" t="s">
        <v>166</v>
      </c>
      <c r="B106" s="68" t="s">
        <v>14</v>
      </c>
      <c r="C106" s="152" t="str">
        <f t="shared" si="1"/>
        <v>Jongen 6-11 maandenB6</v>
      </c>
      <c r="D106" s="152"/>
      <c r="E106" s="42" t="s">
        <v>26</v>
      </c>
      <c r="F106" s="16" t="s">
        <v>164</v>
      </c>
      <c r="G106" s="138">
        <v>0.2</v>
      </c>
      <c r="H106" s="42" t="s">
        <v>136</v>
      </c>
      <c r="I106" s="42" t="s">
        <v>135</v>
      </c>
      <c r="K106" s="16" t="s">
        <v>137</v>
      </c>
    </row>
    <row r="107" spans="1:11" x14ac:dyDescent="0.25">
      <c r="A107" s="125" t="s">
        <v>166</v>
      </c>
      <c r="B107" s="68" t="s">
        <v>15</v>
      </c>
      <c r="C107" s="152" t="str">
        <f t="shared" si="1"/>
        <v>Jongen 6-11 maandenB12</v>
      </c>
      <c r="D107" s="152"/>
      <c r="E107" s="42" t="s">
        <v>101</v>
      </c>
      <c r="F107" s="16" t="s">
        <v>164</v>
      </c>
      <c r="G107" s="138">
        <v>0.5</v>
      </c>
      <c r="H107" s="42" t="s">
        <v>136</v>
      </c>
      <c r="I107" s="42" t="s">
        <v>135</v>
      </c>
    </row>
    <row r="108" spans="1:11" x14ac:dyDescent="0.25">
      <c r="A108" s="125" t="s">
        <v>166</v>
      </c>
      <c r="B108" s="68" t="s">
        <v>105</v>
      </c>
      <c r="C108" s="152" t="str">
        <f t="shared" si="1"/>
        <v>Jongen 6-11 maandenniacine</v>
      </c>
      <c r="D108" s="152"/>
      <c r="E108" s="42" t="s">
        <v>26</v>
      </c>
      <c r="F108" s="16" t="s">
        <v>164</v>
      </c>
      <c r="G108" s="138">
        <v>2</v>
      </c>
      <c r="H108" s="42" t="s">
        <v>134</v>
      </c>
      <c r="I108" s="42" t="s">
        <v>135</v>
      </c>
    </row>
    <row r="109" spans="1:11" x14ac:dyDescent="0.25">
      <c r="A109" s="125" t="s">
        <v>166</v>
      </c>
      <c r="B109" s="68" t="s">
        <v>107</v>
      </c>
      <c r="C109" s="152" t="str">
        <f t="shared" si="1"/>
        <v>Jongen 6-11 maandenfoliumzuur</v>
      </c>
      <c r="D109" s="152"/>
      <c r="E109" s="42" t="s">
        <v>101</v>
      </c>
      <c r="F109" s="16" t="s">
        <v>164</v>
      </c>
      <c r="G109" s="138">
        <v>60</v>
      </c>
      <c r="H109" s="42" t="s">
        <v>136</v>
      </c>
      <c r="I109" s="42" t="s">
        <v>135</v>
      </c>
    </row>
    <row r="110" spans="1:11" x14ac:dyDescent="0.25">
      <c r="A110" s="125" t="s">
        <v>166</v>
      </c>
      <c r="B110" s="68" t="s">
        <v>108</v>
      </c>
      <c r="C110" s="152" t="str">
        <f t="shared" si="1"/>
        <v>Jongen 6-11 maandenpantotheenzuur</v>
      </c>
      <c r="D110" s="152"/>
      <c r="E110" s="42" t="s">
        <v>26</v>
      </c>
      <c r="F110" s="16" t="s">
        <v>164</v>
      </c>
      <c r="G110" s="138">
        <v>2</v>
      </c>
      <c r="H110" s="42" t="s">
        <v>134</v>
      </c>
      <c r="I110" s="42" t="s">
        <v>126</v>
      </c>
    </row>
    <row r="111" spans="1:11" x14ac:dyDescent="0.25">
      <c r="A111" s="125" t="s">
        <v>166</v>
      </c>
      <c r="B111" s="68" t="s">
        <v>109</v>
      </c>
      <c r="C111" s="152" t="str">
        <f t="shared" si="1"/>
        <v>Jongen 6-11 maandenbiotine</v>
      </c>
      <c r="D111" s="152"/>
      <c r="E111" s="42" t="s">
        <v>101</v>
      </c>
      <c r="F111" s="16" t="s">
        <v>164</v>
      </c>
      <c r="G111" s="138">
        <v>6</v>
      </c>
      <c r="H111" s="42" t="s">
        <v>138</v>
      </c>
      <c r="I111" s="42" t="s">
        <v>126</v>
      </c>
    </row>
    <row r="112" spans="1:11" x14ac:dyDescent="0.25">
      <c r="A112" s="125" t="s">
        <v>166</v>
      </c>
      <c r="B112" s="68" t="s">
        <v>23</v>
      </c>
      <c r="C112" s="152" t="str">
        <f t="shared" si="1"/>
        <v>Jongen 6-11 maandenC</v>
      </c>
      <c r="D112" s="152"/>
      <c r="E112" s="42" t="s">
        <v>26</v>
      </c>
      <c r="F112" s="16" t="s">
        <v>164</v>
      </c>
      <c r="G112" s="138">
        <v>20</v>
      </c>
      <c r="H112" s="42" t="s">
        <v>129</v>
      </c>
      <c r="I112" s="42" t="s">
        <v>124</v>
      </c>
    </row>
    <row r="113" spans="1:9" ht="15" x14ac:dyDescent="0.25">
      <c r="A113" s="125" t="s">
        <v>166</v>
      </c>
      <c r="B113" s="139" t="s">
        <v>112</v>
      </c>
      <c r="C113" s="147" t="str">
        <f t="shared" si="1"/>
        <v>Jongen 6-11 maandenMINERALS</v>
      </c>
      <c r="D113" s="147"/>
      <c r="E113" s="140"/>
      <c r="F113" s="140"/>
      <c r="G113" s="141"/>
      <c r="H113" s="140"/>
      <c r="I113" s="140"/>
    </row>
    <row r="114" spans="1:9" x14ac:dyDescent="0.25">
      <c r="A114" s="125" t="s">
        <v>166</v>
      </c>
      <c r="B114" s="68" t="s">
        <v>32</v>
      </c>
      <c r="C114" s="152" t="str">
        <f t="shared" si="1"/>
        <v>Jongen 6-11 maandenCa</v>
      </c>
      <c r="D114" s="152" t="s">
        <v>118</v>
      </c>
      <c r="E114" s="42" t="s">
        <v>26</v>
      </c>
      <c r="F114" s="16" t="s">
        <v>164</v>
      </c>
      <c r="G114" s="138">
        <v>450</v>
      </c>
      <c r="H114" s="42" t="s">
        <v>134</v>
      </c>
      <c r="I114" s="42" t="s">
        <v>126</v>
      </c>
    </row>
    <row r="115" spans="1:9" x14ac:dyDescent="0.25">
      <c r="A115" s="125" t="s">
        <v>166</v>
      </c>
      <c r="B115" s="68" t="s">
        <v>34</v>
      </c>
      <c r="C115" s="152" t="str">
        <f t="shared" si="1"/>
        <v>Jongen 6-11 maandenP</v>
      </c>
      <c r="D115" s="152"/>
      <c r="E115" s="42" t="s">
        <v>26</v>
      </c>
      <c r="F115" s="16" t="s">
        <v>164</v>
      </c>
      <c r="G115" s="138">
        <v>420</v>
      </c>
      <c r="H115" s="42" t="s">
        <v>129</v>
      </c>
      <c r="I115" s="42" t="s">
        <v>124</v>
      </c>
    </row>
    <row r="116" spans="1:9" x14ac:dyDescent="0.25">
      <c r="A116" s="125" t="s">
        <v>166</v>
      </c>
      <c r="B116" s="68" t="s">
        <v>36</v>
      </c>
      <c r="C116" s="152" t="str">
        <f t="shared" si="1"/>
        <v>Jongen 6-11 maandenMg</v>
      </c>
      <c r="D116" s="152"/>
      <c r="E116" s="42" t="s">
        <v>26</v>
      </c>
      <c r="F116" s="16" t="s">
        <v>164</v>
      </c>
      <c r="G116" s="138">
        <v>80</v>
      </c>
      <c r="H116" s="42" t="s">
        <v>129</v>
      </c>
      <c r="I116" s="42" t="s">
        <v>124</v>
      </c>
    </row>
    <row r="117" spans="1:9" x14ac:dyDescent="0.25">
      <c r="A117" s="125" t="s">
        <v>166</v>
      </c>
      <c r="B117" s="68" t="s">
        <v>38</v>
      </c>
      <c r="C117" s="152" t="str">
        <f t="shared" si="1"/>
        <v>Jongen 6-11 maandenFe</v>
      </c>
      <c r="D117" s="152"/>
      <c r="E117" s="42" t="s">
        <v>26</v>
      </c>
      <c r="F117" s="16" t="s">
        <v>164</v>
      </c>
      <c r="G117" s="138">
        <v>8</v>
      </c>
      <c r="H117" s="42" t="s">
        <v>129</v>
      </c>
      <c r="I117" s="42" t="s">
        <v>124</v>
      </c>
    </row>
    <row r="118" spans="1:9" x14ac:dyDescent="0.25">
      <c r="A118" s="125" t="s">
        <v>166</v>
      </c>
      <c r="B118" s="68" t="s">
        <v>40</v>
      </c>
      <c r="C118" s="152" t="str">
        <f t="shared" si="1"/>
        <v>Jongen 6-11 maandenZn</v>
      </c>
      <c r="D118" s="152"/>
      <c r="E118" s="42" t="s">
        <v>26</v>
      </c>
      <c r="F118" s="16" t="s">
        <v>164</v>
      </c>
      <c r="G118" s="138">
        <v>5</v>
      </c>
      <c r="H118" s="42" t="s">
        <v>129</v>
      </c>
      <c r="I118" s="42" t="s">
        <v>124</v>
      </c>
    </row>
    <row r="119" spans="1:9" x14ac:dyDescent="0.25">
      <c r="A119" s="125" t="s">
        <v>166</v>
      </c>
      <c r="B119" s="68" t="s">
        <v>42</v>
      </c>
      <c r="C119" s="152" t="str">
        <f t="shared" si="1"/>
        <v>Jongen 6-11 maandenMn</v>
      </c>
      <c r="D119" s="152"/>
      <c r="E119" s="42" t="s">
        <v>26</v>
      </c>
      <c r="F119" s="16" t="s">
        <v>164</v>
      </c>
      <c r="G119" s="138">
        <v>0.5</v>
      </c>
      <c r="H119" s="42" t="s">
        <v>139</v>
      </c>
      <c r="I119" s="42" t="s">
        <v>126</v>
      </c>
    </row>
    <row r="120" spans="1:9" x14ac:dyDescent="0.25">
      <c r="A120" s="125" t="s">
        <v>166</v>
      </c>
      <c r="B120" s="68" t="s">
        <v>45</v>
      </c>
      <c r="C120" s="152" t="str">
        <f t="shared" si="1"/>
        <v>Jongen 6-11 maandenCu</v>
      </c>
      <c r="D120" s="152"/>
      <c r="E120" s="42" t="s">
        <v>26</v>
      </c>
      <c r="F120" s="16" t="s">
        <v>164</v>
      </c>
      <c r="G120" s="138">
        <v>0.3</v>
      </c>
      <c r="H120" s="42" t="s">
        <v>129</v>
      </c>
      <c r="I120" s="42" t="s">
        <v>124</v>
      </c>
    </row>
    <row r="121" spans="1:9" x14ac:dyDescent="0.25">
      <c r="A121" s="125" t="s">
        <v>166</v>
      </c>
      <c r="B121" s="68" t="s">
        <v>47</v>
      </c>
      <c r="C121" s="152" t="str">
        <f t="shared" si="1"/>
        <v>Jongen 6-11 maandenI</v>
      </c>
      <c r="D121" s="152"/>
      <c r="E121" s="42" t="s">
        <v>101</v>
      </c>
      <c r="F121" s="16" t="s">
        <v>164</v>
      </c>
      <c r="G121" s="138">
        <v>50</v>
      </c>
      <c r="H121" s="42" t="s">
        <v>129</v>
      </c>
      <c r="I121" s="42" t="s">
        <v>124</v>
      </c>
    </row>
    <row r="122" spans="1:9" x14ac:dyDescent="0.25">
      <c r="A122" s="125" t="s">
        <v>166</v>
      </c>
      <c r="B122" s="68" t="s">
        <v>49</v>
      </c>
      <c r="C122" s="152" t="str">
        <f t="shared" si="1"/>
        <v>Jongen 6-11 maandenMo</v>
      </c>
      <c r="D122" s="152"/>
      <c r="E122" s="42" t="s">
        <v>101</v>
      </c>
      <c r="F122" s="16" t="s">
        <v>164</v>
      </c>
      <c r="G122" s="138">
        <v>10</v>
      </c>
      <c r="H122" s="42" t="s">
        <v>139</v>
      </c>
      <c r="I122" s="42" t="s">
        <v>126</v>
      </c>
    </row>
    <row r="123" spans="1:9" x14ac:dyDescent="0.25">
      <c r="A123" s="125" t="s">
        <v>166</v>
      </c>
      <c r="B123" s="68" t="s">
        <v>51</v>
      </c>
      <c r="C123" s="152" t="str">
        <f t="shared" si="1"/>
        <v>Jongen 6-11 maandenCr</v>
      </c>
      <c r="D123" s="152"/>
      <c r="E123" s="42" t="s">
        <v>101</v>
      </c>
      <c r="F123" s="16" t="s">
        <v>164</v>
      </c>
      <c r="G123" s="138">
        <v>5.5</v>
      </c>
      <c r="H123" s="42" t="s">
        <v>140</v>
      </c>
      <c r="I123" s="42" t="s">
        <v>126</v>
      </c>
    </row>
    <row r="124" spans="1:9" x14ac:dyDescent="0.25">
      <c r="A124" s="125" t="s">
        <v>166</v>
      </c>
      <c r="B124" s="68" t="s">
        <v>53</v>
      </c>
      <c r="C124" s="152" t="str">
        <f t="shared" si="1"/>
        <v>Jongen 6-11 maandenSe</v>
      </c>
      <c r="D124" s="152"/>
      <c r="E124" s="42" t="s">
        <v>101</v>
      </c>
      <c r="F124" s="16" t="s">
        <v>164</v>
      </c>
      <c r="G124" s="138">
        <v>15</v>
      </c>
      <c r="H124" s="42" t="s">
        <v>129</v>
      </c>
      <c r="I124" s="42" t="s">
        <v>124</v>
      </c>
    </row>
    <row r="125" spans="1:9" x14ac:dyDescent="0.25">
      <c r="A125" s="125" t="s">
        <v>166</v>
      </c>
      <c r="B125" s="68" t="s">
        <v>55</v>
      </c>
      <c r="C125" s="152" t="str">
        <f t="shared" si="1"/>
        <v>Jongen 6-11 maandenNa</v>
      </c>
      <c r="D125" s="152"/>
      <c r="E125" s="42" t="s">
        <v>123</v>
      </c>
      <c r="F125" s="16" t="s">
        <v>164</v>
      </c>
      <c r="G125" s="138"/>
      <c r="H125" s="42" t="s">
        <v>142</v>
      </c>
      <c r="I125" s="42" t="s">
        <v>143</v>
      </c>
    </row>
    <row r="126" spans="1:9" ht="27" customHeight="1" x14ac:dyDescent="0.25">
      <c r="A126" s="125" t="s">
        <v>166</v>
      </c>
      <c r="B126" s="68" t="s">
        <v>57</v>
      </c>
      <c r="C126" s="152" t="str">
        <f t="shared" si="1"/>
        <v xml:space="preserve">Jongen 6-11 maandenK </v>
      </c>
      <c r="D126" s="152"/>
      <c r="E126" s="42" t="s">
        <v>26</v>
      </c>
      <c r="F126" s="16" t="s">
        <v>164</v>
      </c>
      <c r="G126" s="138">
        <v>1100</v>
      </c>
      <c r="H126" s="42" t="s">
        <v>129</v>
      </c>
      <c r="I126" s="51" t="s">
        <v>124</v>
      </c>
    </row>
    <row r="127" spans="1:9" x14ac:dyDescent="0.25">
      <c r="A127" s="125" t="s">
        <v>166</v>
      </c>
      <c r="B127" s="68" t="s">
        <v>60</v>
      </c>
      <c r="C127" s="152" t="str">
        <f t="shared" si="1"/>
        <v>Jongen 6-11 maandenCl</v>
      </c>
      <c r="D127" s="152"/>
      <c r="E127" s="42" t="s">
        <v>123</v>
      </c>
      <c r="F127" s="16" t="s">
        <v>164</v>
      </c>
      <c r="G127" s="138"/>
      <c r="H127" s="42" t="s">
        <v>144</v>
      </c>
      <c r="I127" s="42" t="s">
        <v>126</v>
      </c>
    </row>
    <row r="128" spans="1:9" ht="15" x14ac:dyDescent="0.25">
      <c r="A128" s="39" t="s">
        <v>168</v>
      </c>
      <c r="B128" s="139" t="s">
        <v>163</v>
      </c>
      <c r="C128" s="147" t="str">
        <f t="shared" si="1"/>
        <v>Meisje 6-11 maandenMACRO</v>
      </c>
      <c r="D128" s="147"/>
      <c r="E128" s="140"/>
      <c r="F128" s="140"/>
      <c r="G128" s="141"/>
      <c r="H128" s="140"/>
      <c r="I128" s="140"/>
    </row>
    <row r="129" spans="1:9" x14ac:dyDescent="0.25">
      <c r="A129" s="39" t="s">
        <v>168</v>
      </c>
      <c r="B129" s="133" t="s">
        <v>35</v>
      </c>
      <c r="C129" s="149" t="str">
        <f t="shared" si="1"/>
        <v>Meisje 6-11 maandenEnergie</v>
      </c>
      <c r="D129" s="149"/>
      <c r="E129" s="16" t="s">
        <v>120</v>
      </c>
      <c r="F129" s="16" t="s">
        <v>165</v>
      </c>
      <c r="G129" s="136">
        <v>83.596063819600005</v>
      </c>
      <c r="H129" s="16" t="s">
        <v>121</v>
      </c>
      <c r="I129" s="16" t="s">
        <v>122</v>
      </c>
    </row>
    <row r="130" spans="1:9" x14ac:dyDescent="0.25">
      <c r="A130" s="39" t="s">
        <v>168</v>
      </c>
      <c r="B130" s="135" t="s">
        <v>37</v>
      </c>
      <c r="C130" s="149" t="str">
        <f t="shared" si="1"/>
        <v>Meisje 6-11 maandenEiwit</v>
      </c>
      <c r="D130" s="149"/>
      <c r="E130" s="16" t="s">
        <v>123</v>
      </c>
      <c r="F130" s="16" t="s">
        <v>164</v>
      </c>
      <c r="G130" s="134">
        <v>10</v>
      </c>
      <c r="H130" s="16" t="s">
        <v>121</v>
      </c>
      <c r="I130" s="24" t="s">
        <v>124</v>
      </c>
    </row>
    <row r="131" spans="1:9" ht="27.6" x14ac:dyDescent="0.25">
      <c r="A131" s="39" t="s">
        <v>168</v>
      </c>
      <c r="B131" s="68" t="s">
        <v>39</v>
      </c>
      <c r="C131" s="150" t="str">
        <f t="shared" si="1"/>
        <v>Meisje 6-11 maandenVetten</v>
      </c>
      <c r="D131" s="150"/>
      <c r="E131" s="16" t="s">
        <v>125</v>
      </c>
      <c r="F131" s="16" t="s">
        <v>165</v>
      </c>
      <c r="G131" s="136">
        <v>3.7149999999999999</v>
      </c>
      <c r="H131" s="16" t="s">
        <v>121</v>
      </c>
      <c r="I131" s="16" t="s">
        <v>126</v>
      </c>
    </row>
    <row r="132" spans="1:9" x14ac:dyDescent="0.25">
      <c r="A132" s="39" t="s">
        <v>168</v>
      </c>
      <c r="B132" s="68" t="s">
        <v>98</v>
      </c>
      <c r="C132" s="150" t="str">
        <f t="shared" si="1"/>
        <v>Meisje 6-11 maandenLCT</v>
      </c>
      <c r="D132" s="150"/>
      <c r="G132" s="136"/>
    </row>
    <row r="133" spans="1:9" x14ac:dyDescent="0.25">
      <c r="A133" s="39" t="s">
        <v>168</v>
      </c>
      <c r="B133" s="68" t="s">
        <v>41</v>
      </c>
      <c r="C133" s="150" t="str">
        <f t="shared" ref="C133:C196" si="2">CONCATENATE(A133,B133)</f>
        <v>Meisje 6-11 maandenMCT</v>
      </c>
      <c r="D133" s="150"/>
      <c r="G133" s="136"/>
    </row>
    <row r="134" spans="1:9" x14ac:dyDescent="0.25">
      <c r="A134" s="39" t="s">
        <v>168</v>
      </c>
      <c r="B134" s="68" t="s">
        <v>48</v>
      </c>
      <c r="C134" s="150" t="str">
        <f t="shared" si="2"/>
        <v>Meisje 6-11 maandenDHA</v>
      </c>
      <c r="D134" s="150"/>
      <c r="G134" s="136"/>
    </row>
    <row r="135" spans="1:9" x14ac:dyDescent="0.25">
      <c r="A135" s="39" t="s">
        <v>168</v>
      </c>
      <c r="B135" s="68" t="s">
        <v>50</v>
      </c>
      <c r="C135" s="150" t="str">
        <f t="shared" si="2"/>
        <v>Meisje 6-11 maandenAA</v>
      </c>
      <c r="D135" s="150"/>
      <c r="G135" s="136"/>
    </row>
    <row r="136" spans="1:9" x14ac:dyDescent="0.25">
      <c r="A136" s="39" t="s">
        <v>168</v>
      </c>
      <c r="B136" s="68" t="s">
        <v>44</v>
      </c>
      <c r="C136" s="149" t="str">
        <f t="shared" si="2"/>
        <v>Meisje 6-11 maandenlinolzuur</v>
      </c>
      <c r="D136" s="149"/>
      <c r="E136" s="16" t="s">
        <v>125</v>
      </c>
      <c r="F136" s="16" t="s">
        <v>165</v>
      </c>
      <c r="G136" s="136">
        <v>1.6719212763920002</v>
      </c>
      <c r="H136" s="16" t="s">
        <v>121</v>
      </c>
      <c r="I136" s="16" t="s">
        <v>126</v>
      </c>
    </row>
    <row r="137" spans="1:9" x14ac:dyDescent="0.25">
      <c r="A137" s="39" t="s">
        <v>168</v>
      </c>
      <c r="B137" s="68" t="s">
        <v>46</v>
      </c>
      <c r="C137" s="149" t="str">
        <f t="shared" si="2"/>
        <v>Meisje 6-11 maandenα-linoleenzuur</v>
      </c>
      <c r="D137" s="149"/>
      <c r="E137" s="16" t="s">
        <v>125</v>
      </c>
      <c r="F137" s="16" t="s">
        <v>165</v>
      </c>
      <c r="G137" s="136">
        <v>0.83596063819600008</v>
      </c>
      <c r="H137" s="16" t="s">
        <v>121</v>
      </c>
      <c r="I137" s="16" t="s">
        <v>126</v>
      </c>
    </row>
    <row r="138" spans="1:9" x14ac:dyDescent="0.25">
      <c r="A138" s="39" t="s">
        <v>168</v>
      </c>
      <c r="B138" s="68" t="s">
        <v>52</v>
      </c>
      <c r="C138" s="149" t="str">
        <f t="shared" si="2"/>
        <v>Meisje 6-11 maandenKoolhydraten</v>
      </c>
      <c r="D138" s="149"/>
      <c r="E138" s="16" t="s">
        <v>125</v>
      </c>
      <c r="F138" s="16" t="s">
        <v>165</v>
      </c>
      <c r="G138" s="136">
        <v>41.798031909800002</v>
      </c>
      <c r="H138" s="16" t="s">
        <v>121</v>
      </c>
      <c r="I138" s="16" t="s">
        <v>124</v>
      </c>
    </row>
    <row r="139" spans="1:9" x14ac:dyDescent="0.25">
      <c r="A139" s="39" t="s">
        <v>168</v>
      </c>
      <c r="B139" s="68" t="s">
        <v>54</v>
      </c>
      <c r="C139" s="151" t="str">
        <f t="shared" si="2"/>
        <v>Meisje 6-11 maandenVezels</v>
      </c>
      <c r="D139" s="151"/>
      <c r="G139" s="136"/>
      <c r="H139" s="24"/>
    </row>
    <row r="140" spans="1:9" x14ac:dyDescent="0.25">
      <c r="A140" s="39" t="s">
        <v>168</v>
      </c>
      <c r="B140" s="16" t="s">
        <v>56</v>
      </c>
      <c r="C140" s="151" t="str">
        <f t="shared" si="2"/>
        <v>Meisje 6-11 maandenVocht</v>
      </c>
      <c r="D140" s="151"/>
      <c r="G140" s="136"/>
      <c r="H140" s="24"/>
    </row>
    <row r="141" spans="1:9" ht="15" x14ac:dyDescent="0.25">
      <c r="A141" s="39" t="s">
        <v>168</v>
      </c>
      <c r="B141" s="139" t="s">
        <v>99</v>
      </c>
      <c r="C141" s="147" t="str">
        <f t="shared" si="2"/>
        <v>Meisje 6-11 maandenVITAMINS</v>
      </c>
      <c r="D141" s="147"/>
      <c r="E141" s="140"/>
      <c r="F141" s="140"/>
      <c r="G141" s="141"/>
      <c r="H141" s="140"/>
      <c r="I141" s="140"/>
    </row>
    <row r="142" spans="1:9" x14ac:dyDescent="0.25">
      <c r="A142" s="39" t="s">
        <v>168</v>
      </c>
      <c r="B142" s="68" t="s">
        <v>7</v>
      </c>
      <c r="C142" s="152" t="str">
        <f t="shared" si="2"/>
        <v>Meisje 6-11 maandenA</v>
      </c>
      <c r="D142" s="152"/>
      <c r="E142" s="16" t="s">
        <v>101</v>
      </c>
      <c r="F142" s="16" t="s">
        <v>164</v>
      </c>
      <c r="G142" s="136">
        <v>300</v>
      </c>
      <c r="H142" s="16" t="s">
        <v>129</v>
      </c>
      <c r="I142" s="42" t="s">
        <v>124</v>
      </c>
    </row>
    <row r="143" spans="1:9" x14ac:dyDescent="0.25">
      <c r="A143" s="39" t="s">
        <v>168</v>
      </c>
      <c r="B143" s="137" t="s">
        <v>8</v>
      </c>
      <c r="C143" s="151" t="str">
        <f t="shared" si="2"/>
        <v>Meisje 6-11 maandenD</v>
      </c>
      <c r="D143" s="151"/>
      <c r="E143" s="16" t="s">
        <v>101</v>
      </c>
      <c r="F143" s="16" t="s">
        <v>164</v>
      </c>
      <c r="G143" s="136">
        <v>10</v>
      </c>
      <c r="H143" s="42" t="s">
        <v>130</v>
      </c>
      <c r="I143" s="42" t="s">
        <v>126</v>
      </c>
    </row>
    <row r="144" spans="1:9" x14ac:dyDescent="0.25">
      <c r="A144" s="39" t="s">
        <v>168</v>
      </c>
      <c r="B144" s="68" t="s">
        <v>9</v>
      </c>
      <c r="C144" s="152" t="str">
        <f t="shared" si="2"/>
        <v>Meisje 6-11 maandenE</v>
      </c>
      <c r="D144" s="152"/>
      <c r="E144" s="16" t="s">
        <v>26</v>
      </c>
      <c r="F144" s="16" t="s">
        <v>164</v>
      </c>
      <c r="G144" s="136">
        <v>3</v>
      </c>
      <c r="H144" s="42" t="s">
        <v>129</v>
      </c>
      <c r="I144" s="42" t="s">
        <v>124</v>
      </c>
    </row>
    <row r="145" spans="1:9" x14ac:dyDescent="0.25">
      <c r="A145" s="39" t="s">
        <v>168</v>
      </c>
      <c r="B145" s="68" t="s">
        <v>10</v>
      </c>
      <c r="C145" s="152" t="str">
        <f t="shared" si="2"/>
        <v>Meisje 6-11 maandenK</v>
      </c>
      <c r="D145" s="152"/>
      <c r="E145" s="16" t="s">
        <v>101</v>
      </c>
      <c r="F145" s="16" t="s">
        <v>164</v>
      </c>
      <c r="G145" s="136"/>
      <c r="H145" s="47" t="s">
        <v>132</v>
      </c>
      <c r="I145" s="47" t="s">
        <v>126</v>
      </c>
    </row>
    <row r="146" spans="1:9" x14ac:dyDescent="0.25">
      <c r="A146" s="39" t="s">
        <v>168</v>
      </c>
      <c r="B146" s="68" t="s">
        <v>103</v>
      </c>
      <c r="C146" s="152" t="str">
        <f t="shared" si="2"/>
        <v>Meisje 6-11 maandenthiamine</v>
      </c>
      <c r="D146" s="152"/>
      <c r="E146" s="42" t="s">
        <v>26</v>
      </c>
      <c r="F146" s="16" t="s">
        <v>164</v>
      </c>
      <c r="G146" s="138">
        <v>0.2</v>
      </c>
      <c r="H146" s="42" t="s">
        <v>134</v>
      </c>
      <c r="I146" s="42" t="s">
        <v>135</v>
      </c>
    </row>
    <row r="147" spans="1:9" x14ac:dyDescent="0.25">
      <c r="A147" s="39" t="s">
        <v>168</v>
      </c>
      <c r="B147" s="68" t="s">
        <v>104</v>
      </c>
      <c r="C147" s="152" t="str">
        <f t="shared" si="2"/>
        <v>Meisje 6-11 maandenriboflavine</v>
      </c>
      <c r="D147" s="152"/>
      <c r="E147" s="42" t="s">
        <v>26</v>
      </c>
      <c r="F147" s="16" t="s">
        <v>164</v>
      </c>
      <c r="G147" s="138">
        <v>0.4</v>
      </c>
      <c r="H147" s="42" t="s">
        <v>134</v>
      </c>
      <c r="I147" s="42" t="s">
        <v>135</v>
      </c>
    </row>
    <row r="148" spans="1:9" x14ac:dyDescent="0.25">
      <c r="A148" s="39" t="s">
        <v>168</v>
      </c>
      <c r="B148" s="68" t="s">
        <v>14</v>
      </c>
      <c r="C148" s="152" t="str">
        <f t="shared" si="2"/>
        <v>Meisje 6-11 maandenB6</v>
      </c>
      <c r="D148" s="152"/>
      <c r="E148" s="42" t="s">
        <v>26</v>
      </c>
      <c r="F148" s="16" t="s">
        <v>164</v>
      </c>
      <c r="G148" s="138">
        <v>0.2</v>
      </c>
      <c r="H148" s="42" t="s">
        <v>136</v>
      </c>
      <c r="I148" s="42" t="s">
        <v>135</v>
      </c>
    </row>
    <row r="149" spans="1:9" x14ac:dyDescent="0.25">
      <c r="A149" s="39" t="s">
        <v>168</v>
      </c>
      <c r="B149" s="68" t="s">
        <v>15</v>
      </c>
      <c r="C149" s="152" t="str">
        <f t="shared" si="2"/>
        <v>Meisje 6-11 maandenB12</v>
      </c>
      <c r="D149" s="152"/>
      <c r="E149" s="42" t="s">
        <v>101</v>
      </c>
      <c r="F149" s="16" t="s">
        <v>164</v>
      </c>
      <c r="G149" s="138">
        <v>0.5</v>
      </c>
      <c r="H149" s="42" t="s">
        <v>136</v>
      </c>
      <c r="I149" s="42" t="s">
        <v>135</v>
      </c>
    </row>
    <row r="150" spans="1:9" x14ac:dyDescent="0.25">
      <c r="A150" s="39" t="s">
        <v>168</v>
      </c>
      <c r="B150" s="68" t="s">
        <v>105</v>
      </c>
      <c r="C150" s="152" t="str">
        <f t="shared" si="2"/>
        <v>Meisje 6-11 maandenniacine</v>
      </c>
      <c r="D150" s="152"/>
      <c r="E150" s="42" t="s">
        <v>26</v>
      </c>
      <c r="F150" s="16" t="s">
        <v>164</v>
      </c>
      <c r="G150" s="138">
        <v>2</v>
      </c>
      <c r="H150" s="42" t="s">
        <v>134</v>
      </c>
      <c r="I150" s="42" t="s">
        <v>135</v>
      </c>
    </row>
    <row r="151" spans="1:9" x14ac:dyDescent="0.25">
      <c r="A151" s="39" t="s">
        <v>168</v>
      </c>
      <c r="B151" s="68" t="s">
        <v>107</v>
      </c>
      <c r="C151" s="152" t="str">
        <f t="shared" si="2"/>
        <v>Meisje 6-11 maandenfoliumzuur</v>
      </c>
      <c r="D151" s="152"/>
      <c r="E151" s="42" t="s">
        <v>101</v>
      </c>
      <c r="F151" s="16" t="s">
        <v>164</v>
      </c>
      <c r="G151" s="138">
        <v>60</v>
      </c>
      <c r="H151" s="42" t="s">
        <v>136</v>
      </c>
      <c r="I151" s="42" t="s">
        <v>135</v>
      </c>
    </row>
    <row r="152" spans="1:9" x14ac:dyDescent="0.25">
      <c r="A152" s="39" t="s">
        <v>168</v>
      </c>
      <c r="B152" s="68" t="s">
        <v>108</v>
      </c>
      <c r="C152" s="152" t="str">
        <f t="shared" si="2"/>
        <v>Meisje 6-11 maandenpantotheenzuur</v>
      </c>
      <c r="D152" s="152"/>
      <c r="E152" s="42" t="s">
        <v>26</v>
      </c>
      <c r="F152" s="16" t="s">
        <v>164</v>
      </c>
      <c r="G152" s="138">
        <v>2</v>
      </c>
      <c r="H152" s="42" t="s">
        <v>134</v>
      </c>
      <c r="I152" s="42" t="s">
        <v>126</v>
      </c>
    </row>
    <row r="153" spans="1:9" x14ac:dyDescent="0.25">
      <c r="A153" s="39" t="s">
        <v>168</v>
      </c>
      <c r="B153" s="68" t="s">
        <v>109</v>
      </c>
      <c r="C153" s="152" t="str">
        <f t="shared" si="2"/>
        <v>Meisje 6-11 maandenbiotine</v>
      </c>
      <c r="D153" s="152"/>
      <c r="E153" s="42" t="s">
        <v>101</v>
      </c>
      <c r="F153" s="16" t="s">
        <v>164</v>
      </c>
      <c r="G153" s="138">
        <v>6</v>
      </c>
      <c r="H153" s="42" t="s">
        <v>138</v>
      </c>
      <c r="I153" s="42" t="s">
        <v>126</v>
      </c>
    </row>
    <row r="154" spans="1:9" x14ac:dyDescent="0.25">
      <c r="A154" s="39" t="s">
        <v>168</v>
      </c>
      <c r="B154" s="68" t="s">
        <v>23</v>
      </c>
      <c r="C154" s="152" t="str">
        <f t="shared" si="2"/>
        <v>Meisje 6-11 maandenC</v>
      </c>
      <c r="D154" s="152"/>
      <c r="E154" s="42" t="s">
        <v>26</v>
      </c>
      <c r="F154" s="16" t="s">
        <v>164</v>
      </c>
      <c r="G154" s="138">
        <v>20</v>
      </c>
      <c r="H154" s="42" t="s">
        <v>129</v>
      </c>
      <c r="I154" s="42" t="s">
        <v>124</v>
      </c>
    </row>
    <row r="155" spans="1:9" ht="15" x14ac:dyDescent="0.25">
      <c r="A155" s="39" t="s">
        <v>168</v>
      </c>
      <c r="B155" s="139" t="s">
        <v>112</v>
      </c>
      <c r="C155" s="147" t="str">
        <f t="shared" si="2"/>
        <v>Meisje 6-11 maandenMINERALS</v>
      </c>
      <c r="D155" s="147"/>
      <c r="E155" s="140"/>
      <c r="F155" s="140"/>
      <c r="G155" s="141"/>
      <c r="H155" s="140"/>
      <c r="I155" s="140"/>
    </row>
    <row r="156" spans="1:9" x14ac:dyDescent="0.25">
      <c r="A156" s="39" t="s">
        <v>168</v>
      </c>
      <c r="B156" s="68" t="s">
        <v>32</v>
      </c>
      <c r="C156" s="152" t="str">
        <f t="shared" si="2"/>
        <v>Meisje 6-11 maandenCa</v>
      </c>
      <c r="D156" s="152" t="s">
        <v>118</v>
      </c>
      <c r="E156" s="42" t="s">
        <v>26</v>
      </c>
      <c r="F156" s="16" t="s">
        <v>164</v>
      </c>
      <c r="G156" s="138">
        <v>450</v>
      </c>
      <c r="H156" s="42" t="s">
        <v>134</v>
      </c>
      <c r="I156" s="42" t="s">
        <v>126</v>
      </c>
    </row>
    <row r="157" spans="1:9" x14ac:dyDescent="0.25">
      <c r="A157" s="39" t="s">
        <v>168</v>
      </c>
      <c r="B157" s="68" t="s">
        <v>34</v>
      </c>
      <c r="C157" s="152" t="str">
        <f t="shared" si="2"/>
        <v>Meisje 6-11 maandenP</v>
      </c>
      <c r="D157" s="152"/>
      <c r="E157" s="42" t="s">
        <v>26</v>
      </c>
      <c r="F157" s="16" t="s">
        <v>164</v>
      </c>
      <c r="G157" s="138">
        <v>420</v>
      </c>
      <c r="H157" s="42" t="s">
        <v>129</v>
      </c>
      <c r="I157" s="42" t="s">
        <v>124</v>
      </c>
    </row>
    <row r="158" spans="1:9" x14ac:dyDescent="0.25">
      <c r="A158" s="39" t="s">
        <v>168</v>
      </c>
      <c r="B158" s="68" t="s">
        <v>36</v>
      </c>
      <c r="C158" s="152" t="str">
        <f t="shared" si="2"/>
        <v>Meisje 6-11 maandenMg</v>
      </c>
      <c r="D158" s="152"/>
      <c r="E158" s="42" t="s">
        <v>26</v>
      </c>
      <c r="F158" s="16" t="s">
        <v>164</v>
      </c>
      <c r="G158" s="138">
        <v>80</v>
      </c>
      <c r="H158" s="42" t="s">
        <v>129</v>
      </c>
      <c r="I158" s="42" t="s">
        <v>124</v>
      </c>
    </row>
    <row r="159" spans="1:9" x14ac:dyDescent="0.25">
      <c r="A159" s="39" t="s">
        <v>168</v>
      </c>
      <c r="B159" s="68" t="s">
        <v>38</v>
      </c>
      <c r="C159" s="152" t="str">
        <f t="shared" si="2"/>
        <v>Meisje 6-11 maandenFe</v>
      </c>
      <c r="D159" s="152"/>
      <c r="E159" s="42" t="s">
        <v>26</v>
      </c>
      <c r="F159" s="16" t="s">
        <v>164</v>
      </c>
      <c r="G159" s="138">
        <v>8</v>
      </c>
      <c r="H159" s="42" t="s">
        <v>129</v>
      </c>
      <c r="I159" s="42" t="s">
        <v>124</v>
      </c>
    </row>
    <row r="160" spans="1:9" x14ac:dyDescent="0.25">
      <c r="A160" s="39" t="s">
        <v>168</v>
      </c>
      <c r="B160" s="68" t="s">
        <v>40</v>
      </c>
      <c r="C160" s="152" t="str">
        <f t="shared" si="2"/>
        <v>Meisje 6-11 maandenZn</v>
      </c>
      <c r="D160" s="152"/>
      <c r="E160" s="42" t="s">
        <v>26</v>
      </c>
      <c r="F160" s="16" t="s">
        <v>164</v>
      </c>
      <c r="G160" s="138">
        <v>5</v>
      </c>
      <c r="H160" s="42" t="s">
        <v>129</v>
      </c>
      <c r="I160" s="42" t="s">
        <v>124</v>
      </c>
    </row>
    <row r="161" spans="1:9" x14ac:dyDescent="0.25">
      <c r="A161" s="39" t="s">
        <v>168</v>
      </c>
      <c r="B161" s="68" t="s">
        <v>42</v>
      </c>
      <c r="C161" s="152" t="str">
        <f t="shared" si="2"/>
        <v>Meisje 6-11 maandenMn</v>
      </c>
      <c r="D161" s="152"/>
      <c r="E161" s="42" t="s">
        <v>26</v>
      </c>
      <c r="F161" s="16" t="s">
        <v>164</v>
      </c>
      <c r="G161" s="138">
        <v>0.5</v>
      </c>
      <c r="H161" s="42" t="s">
        <v>139</v>
      </c>
      <c r="I161" s="42" t="s">
        <v>126</v>
      </c>
    </row>
    <row r="162" spans="1:9" x14ac:dyDescent="0.25">
      <c r="A162" s="39" t="s">
        <v>168</v>
      </c>
      <c r="B162" s="68" t="s">
        <v>45</v>
      </c>
      <c r="C162" s="152" t="str">
        <f t="shared" si="2"/>
        <v>Meisje 6-11 maandenCu</v>
      </c>
      <c r="D162" s="152"/>
      <c r="E162" s="42" t="s">
        <v>26</v>
      </c>
      <c r="F162" s="16" t="s">
        <v>164</v>
      </c>
      <c r="G162" s="138">
        <v>0.3</v>
      </c>
      <c r="H162" s="42" t="s">
        <v>129</v>
      </c>
      <c r="I162" s="42" t="s">
        <v>124</v>
      </c>
    </row>
    <row r="163" spans="1:9" x14ac:dyDescent="0.25">
      <c r="A163" s="39" t="s">
        <v>168</v>
      </c>
      <c r="B163" s="68" t="s">
        <v>47</v>
      </c>
      <c r="C163" s="152" t="str">
        <f t="shared" si="2"/>
        <v>Meisje 6-11 maandenI</v>
      </c>
      <c r="D163" s="152"/>
      <c r="E163" s="42" t="s">
        <v>101</v>
      </c>
      <c r="F163" s="16" t="s">
        <v>164</v>
      </c>
      <c r="G163" s="138">
        <v>50</v>
      </c>
      <c r="H163" s="42" t="s">
        <v>129</v>
      </c>
      <c r="I163" s="42" t="s">
        <v>124</v>
      </c>
    </row>
    <row r="164" spans="1:9" x14ac:dyDescent="0.25">
      <c r="A164" s="39" t="s">
        <v>168</v>
      </c>
      <c r="B164" s="68" t="s">
        <v>49</v>
      </c>
      <c r="C164" s="152" t="str">
        <f t="shared" si="2"/>
        <v>Meisje 6-11 maandenMo</v>
      </c>
      <c r="D164" s="152"/>
      <c r="E164" s="42" t="s">
        <v>101</v>
      </c>
      <c r="F164" s="16" t="s">
        <v>164</v>
      </c>
      <c r="G164" s="138">
        <v>10</v>
      </c>
      <c r="H164" s="42" t="s">
        <v>139</v>
      </c>
      <c r="I164" s="42" t="s">
        <v>126</v>
      </c>
    </row>
    <row r="165" spans="1:9" x14ac:dyDescent="0.25">
      <c r="A165" s="39" t="s">
        <v>168</v>
      </c>
      <c r="B165" s="68" t="s">
        <v>51</v>
      </c>
      <c r="C165" s="152" t="str">
        <f t="shared" si="2"/>
        <v>Meisje 6-11 maandenCr</v>
      </c>
      <c r="D165" s="152"/>
      <c r="E165" s="42" t="s">
        <v>101</v>
      </c>
      <c r="F165" s="16" t="s">
        <v>164</v>
      </c>
      <c r="G165" s="138">
        <v>5.5</v>
      </c>
      <c r="H165" s="42" t="s">
        <v>140</v>
      </c>
      <c r="I165" s="42" t="s">
        <v>126</v>
      </c>
    </row>
    <row r="166" spans="1:9" x14ac:dyDescent="0.25">
      <c r="A166" s="39" t="s">
        <v>168</v>
      </c>
      <c r="B166" s="68" t="s">
        <v>53</v>
      </c>
      <c r="C166" s="152" t="str">
        <f t="shared" si="2"/>
        <v>Meisje 6-11 maandenSe</v>
      </c>
      <c r="D166" s="152"/>
      <c r="E166" s="42" t="s">
        <v>101</v>
      </c>
      <c r="F166" s="16" t="s">
        <v>164</v>
      </c>
      <c r="G166" s="138">
        <v>15</v>
      </c>
      <c r="H166" s="42" t="s">
        <v>129</v>
      </c>
      <c r="I166" s="42" t="s">
        <v>124</v>
      </c>
    </row>
    <row r="167" spans="1:9" x14ac:dyDescent="0.25">
      <c r="A167" s="39" t="s">
        <v>168</v>
      </c>
      <c r="B167" s="68" t="s">
        <v>55</v>
      </c>
      <c r="C167" s="152" t="str">
        <f t="shared" si="2"/>
        <v>Meisje 6-11 maandenNa</v>
      </c>
      <c r="D167" s="152"/>
      <c r="E167" s="42" t="s">
        <v>123</v>
      </c>
      <c r="F167" s="16" t="s">
        <v>164</v>
      </c>
      <c r="G167" s="138"/>
      <c r="H167" s="42" t="s">
        <v>142</v>
      </c>
      <c r="I167" s="42" t="s">
        <v>143</v>
      </c>
    </row>
    <row r="168" spans="1:9" x14ac:dyDescent="0.25">
      <c r="A168" s="39" t="s">
        <v>168</v>
      </c>
      <c r="B168" s="68" t="s">
        <v>57</v>
      </c>
      <c r="C168" s="152" t="str">
        <f t="shared" si="2"/>
        <v xml:space="preserve">Meisje 6-11 maandenK </v>
      </c>
      <c r="D168" s="152"/>
      <c r="E168" s="42" t="s">
        <v>26</v>
      </c>
      <c r="F168" s="16" t="s">
        <v>164</v>
      </c>
      <c r="G168" s="138">
        <v>1100</v>
      </c>
      <c r="H168" s="42" t="s">
        <v>129</v>
      </c>
      <c r="I168" s="51" t="s">
        <v>124</v>
      </c>
    </row>
    <row r="169" spans="1:9" x14ac:dyDescent="0.25">
      <c r="A169" s="39" t="s">
        <v>168</v>
      </c>
      <c r="B169" s="68" t="s">
        <v>60</v>
      </c>
      <c r="C169" s="152" t="str">
        <f t="shared" si="2"/>
        <v>Meisje 6-11 maandenCl</v>
      </c>
      <c r="D169" s="152"/>
      <c r="E169" s="42" t="s">
        <v>123</v>
      </c>
      <c r="F169" s="16" t="s">
        <v>164</v>
      </c>
      <c r="G169" s="138"/>
      <c r="H169" s="42" t="s">
        <v>144</v>
      </c>
      <c r="I169" s="42" t="s">
        <v>126</v>
      </c>
    </row>
    <row r="170" spans="1:9" ht="15" x14ac:dyDescent="0.25">
      <c r="A170" s="129" t="s">
        <v>169</v>
      </c>
      <c r="B170" s="139" t="s">
        <v>163</v>
      </c>
      <c r="C170" s="147" t="str">
        <f t="shared" si="2"/>
        <v>Jongen 12-18 maandenMACRO</v>
      </c>
      <c r="D170" s="147"/>
      <c r="E170" s="140"/>
      <c r="F170" s="140"/>
      <c r="G170" s="141"/>
      <c r="H170" s="140"/>
      <c r="I170" s="140"/>
    </row>
    <row r="171" spans="1:9" x14ac:dyDescent="0.25">
      <c r="A171" s="129" t="s">
        <v>169</v>
      </c>
      <c r="B171" s="16" t="s">
        <v>35</v>
      </c>
      <c r="C171" s="145" t="str">
        <f t="shared" si="2"/>
        <v>Jongen 12-18 maandenEnergie</v>
      </c>
      <c r="E171" s="16" t="s">
        <v>170</v>
      </c>
      <c r="F171" s="16" t="s">
        <v>164</v>
      </c>
      <c r="G171" s="136">
        <v>1194.2294831375</v>
      </c>
      <c r="H171" s="16" t="s">
        <v>121</v>
      </c>
      <c r="I171" s="16" t="s">
        <v>122</v>
      </c>
    </row>
    <row r="172" spans="1:9" x14ac:dyDescent="0.25">
      <c r="A172" s="129" t="s">
        <v>169</v>
      </c>
      <c r="B172" s="16" t="s">
        <v>37</v>
      </c>
      <c r="C172" s="145" t="str">
        <f t="shared" si="2"/>
        <v>Jongen 12-18 maandenEiwit</v>
      </c>
      <c r="E172" s="16" t="s">
        <v>123</v>
      </c>
      <c r="F172" s="16" t="s">
        <v>164</v>
      </c>
      <c r="G172" s="136">
        <v>14</v>
      </c>
      <c r="H172" s="16" t="s">
        <v>121</v>
      </c>
      <c r="I172" s="16" t="s">
        <v>124</v>
      </c>
    </row>
    <row r="173" spans="1:9" x14ac:dyDescent="0.25">
      <c r="A173" s="129" t="s">
        <v>169</v>
      </c>
      <c r="B173" s="16" t="s">
        <v>39</v>
      </c>
      <c r="C173" s="145" t="str">
        <f t="shared" si="2"/>
        <v>Jongen 12-18 maandenVetten</v>
      </c>
      <c r="D173" s="145" t="s">
        <v>118</v>
      </c>
      <c r="E173" s="16" t="s">
        <v>123</v>
      </c>
      <c r="F173" s="16" t="s">
        <v>164</v>
      </c>
      <c r="G173" s="136">
        <v>53.08</v>
      </c>
      <c r="H173" s="16" t="s">
        <v>121</v>
      </c>
      <c r="I173" s="16" t="s">
        <v>126</v>
      </c>
    </row>
    <row r="174" spans="1:9" x14ac:dyDescent="0.25">
      <c r="A174" s="129" t="s">
        <v>169</v>
      </c>
      <c r="B174" s="16" t="s">
        <v>98</v>
      </c>
      <c r="C174" s="145" t="str">
        <f t="shared" si="2"/>
        <v>Jongen 12-18 maandenLCT</v>
      </c>
      <c r="G174" s="136"/>
    </row>
    <row r="175" spans="1:9" x14ac:dyDescent="0.25">
      <c r="A175" s="129" t="s">
        <v>169</v>
      </c>
      <c r="B175" s="16" t="s">
        <v>41</v>
      </c>
      <c r="C175" s="145" t="str">
        <f t="shared" si="2"/>
        <v>Jongen 12-18 maandenMCT</v>
      </c>
      <c r="G175" s="136"/>
    </row>
    <row r="176" spans="1:9" x14ac:dyDescent="0.25">
      <c r="A176" s="129" t="s">
        <v>169</v>
      </c>
      <c r="B176" s="16" t="s">
        <v>48</v>
      </c>
      <c r="C176" s="145" t="str">
        <f t="shared" si="2"/>
        <v>Jongen 12-18 maandenDHA</v>
      </c>
      <c r="G176" s="136"/>
    </row>
    <row r="177" spans="1:9" x14ac:dyDescent="0.25">
      <c r="A177" s="129" t="s">
        <v>169</v>
      </c>
      <c r="B177" s="16" t="s">
        <v>50</v>
      </c>
      <c r="C177" s="145" t="str">
        <f t="shared" si="2"/>
        <v>Jongen 12-18 maandenAA</v>
      </c>
      <c r="G177" s="136"/>
    </row>
    <row r="178" spans="1:9" x14ac:dyDescent="0.25">
      <c r="A178" s="129" t="s">
        <v>169</v>
      </c>
      <c r="B178" s="16" t="s">
        <v>44</v>
      </c>
      <c r="C178" s="145" t="str">
        <f t="shared" si="2"/>
        <v>Jongen 12-18 maandenlinolzuur</v>
      </c>
      <c r="E178" s="16" t="s">
        <v>123</v>
      </c>
      <c r="F178" s="16" t="s">
        <v>164</v>
      </c>
      <c r="G178" s="136">
        <v>2.6538432958611109</v>
      </c>
      <c r="H178" s="16" t="s">
        <v>121</v>
      </c>
      <c r="I178" s="16" t="s">
        <v>126</v>
      </c>
    </row>
    <row r="179" spans="1:9" x14ac:dyDescent="0.25">
      <c r="A179" s="129" t="s">
        <v>169</v>
      </c>
      <c r="B179" s="16" t="s">
        <v>46</v>
      </c>
      <c r="C179" s="145" t="str">
        <f t="shared" si="2"/>
        <v>Jongen 12-18 maandenα-linoleenzuur</v>
      </c>
      <c r="E179" s="16" t="s">
        <v>123</v>
      </c>
      <c r="F179" s="16" t="s">
        <v>164</v>
      </c>
      <c r="G179" s="136">
        <v>1.3269216479305554</v>
      </c>
      <c r="H179" s="16" t="s">
        <v>121</v>
      </c>
      <c r="I179" s="16" t="s">
        <v>126</v>
      </c>
    </row>
    <row r="180" spans="1:9" x14ac:dyDescent="0.25">
      <c r="A180" s="129" t="s">
        <v>169</v>
      </c>
      <c r="B180" s="16" t="s">
        <v>52</v>
      </c>
      <c r="C180" s="145" t="str">
        <f t="shared" si="2"/>
        <v>Jongen 12-18 maandenKoolhydraten</v>
      </c>
      <c r="E180" s="16" t="s">
        <v>123</v>
      </c>
      <c r="F180" s="16" t="s">
        <v>164</v>
      </c>
      <c r="G180" s="136">
        <v>134.35081685296876</v>
      </c>
      <c r="H180" s="16" t="s">
        <v>121</v>
      </c>
      <c r="I180" s="16" t="s">
        <v>124</v>
      </c>
    </row>
    <row r="181" spans="1:9" x14ac:dyDescent="0.25">
      <c r="A181" s="129" t="s">
        <v>169</v>
      </c>
      <c r="B181" s="16" t="s">
        <v>54</v>
      </c>
      <c r="C181" s="145" t="str">
        <f t="shared" si="2"/>
        <v>Jongen 12-18 maandenVezels</v>
      </c>
      <c r="E181" s="16" t="s">
        <v>123</v>
      </c>
      <c r="F181" s="16" t="s">
        <v>164</v>
      </c>
      <c r="G181" s="136">
        <v>15</v>
      </c>
      <c r="H181" s="16" t="s">
        <v>171</v>
      </c>
      <c r="I181" s="16" t="s">
        <v>124</v>
      </c>
    </row>
    <row r="182" spans="1:9" x14ac:dyDescent="0.25">
      <c r="A182" s="129" t="s">
        <v>169</v>
      </c>
      <c r="B182" s="16" t="s">
        <v>56</v>
      </c>
      <c r="C182" s="145" t="str">
        <f t="shared" si="2"/>
        <v>Jongen 12-18 maandenVocht</v>
      </c>
      <c r="G182" s="136"/>
    </row>
    <row r="183" spans="1:9" ht="15" x14ac:dyDescent="0.25">
      <c r="A183" s="129" t="s">
        <v>169</v>
      </c>
      <c r="B183" s="139" t="s">
        <v>99</v>
      </c>
      <c r="C183" s="147" t="str">
        <f t="shared" si="2"/>
        <v>Jongen 12-18 maandenVITAMINS</v>
      </c>
      <c r="D183" s="147"/>
      <c r="E183" s="140"/>
      <c r="F183" s="140"/>
      <c r="G183" s="141"/>
      <c r="H183" s="140"/>
      <c r="I183" s="140"/>
    </row>
    <row r="184" spans="1:9" x14ac:dyDescent="0.25">
      <c r="A184" s="129" t="s">
        <v>169</v>
      </c>
      <c r="B184" s="16" t="s">
        <v>7</v>
      </c>
      <c r="C184" s="145" t="str">
        <f t="shared" si="2"/>
        <v>Jongen 12-18 maandenA</v>
      </c>
      <c r="E184" s="16" t="s">
        <v>101</v>
      </c>
      <c r="F184" s="16" t="s">
        <v>164</v>
      </c>
      <c r="G184" s="136">
        <v>300</v>
      </c>
      <c r="H184" s="16" t="s">
        <v>129</v>
      </c>
      <c r="I184" s="16" t="s">
        <v>124</v>
      </c>
    </row>
    <row r="185" spans="1:9" x14ac:dyDescent="0.25">
      <c r="A185" s="129" t="s">
        <v>169</v>
      </c>
      <c r="B185" s="16" t="s">
        <v>8</v>
      </c>
      <c r="C185" s="145" t="str">
        <f t="shared" si="2"/>
        <v>Jongen 12-18 maandenD</v>
      </c>
      <c r="E185" s="16" t="s">
        <v>101</v>
      </c>
      <c r="F185" s="16" t="s">
        <v>164</v>
      </c>
      <c r="G185" s="136">
        <v>10</v>
      </c>
      <c r="H185" s="16" t="s">
        <v>130</v>
      </c>
      <c r="I185" s="16" t="s">
        <v>126</v>
      </c>
    </row>
    <row r="186" spans="1:9" x14ac:dyDescent="0.25">
      <c r="A186" s="129" t="s">
        <v>169</v>
      </c>
      <c r="B186" s="16" t="s">
        <v>9</v>
      </c>
      <c r="C186" s="145" t="str">
        <f t="shared" si="2"/>
        <v>Jongen 12-18 maandenE</v>
      </c>
      <c r="E186" s="16" t="s">
        <v>26</v>
      </c>
      <c r="F186" s="16" t="s">
        <v>164</v>
      </c>
      <c r="G186" s="136">
        <v>4</v>
      </c>
      <c r="H186" s="16" t="s">
        <v>129</v>
      </c>
      <c r="I186" s="16" t="s">
        <v>124</v>
      </c>
    </row>
    <row r="187" spans="1:9" x14ac:dyDescent="0.25">
      <c r="A187" s="129" t="s">
        <v>169</v>
      </c>
      <c r="B187" s="16" t="s">
        <v>10</v>
      </c>
      <c r="C187" s="145" t="str">
        <f t="shared" si="2"/>
        <v>Jongen 12-18 maandenK</v>
      </c>
      <c r="E187" s="16" t="s">
        <v>101</v>
      </c>
      <c r="F187" s="16" t="s">
        <v>164</v>
      </c>
      <c r="G187" s="136">
        <v>30</v>
      </c>
      <c r="H187" s="16" t="s">
        <v>132</v>
      </c>
      <c r="I187" s="16" t="s">
        <v>126</v>
      </c>
    </row>
    <row r="188" spans="1:9" x14ac:dyDescent="0.25">
      <c r="A188" s="129" t="s">
        <v>169</v>
      </c>
      <c r="B188" s="16" t="s">
        <v>103</v>
      </c>
      <c r="C188" s="145" t="str">
        <f t="shared" si="2"/>
        <v>Jongen 12-18 maandenthiamine</v>
      </c>
      <c r="E188" s="16" t="s">
        <v>26</v>
      </c>
      <c r="F188" s="16" t="s">
        <v>164</v>
      </c>
      <c r="G188" s="136">
        <v>0.3</v>
      </c>
      <c r="H188" s="16" t="s">
        <v>134</v>
      </c>
      <c r="I188" s="16" t="s">
        <v>135</v>
      </c>
    </row>
    <row r="189" spans="1:9" x14ac:dyDescent="0.25">
      <c r="A189" s="129" t="s">
        <v>169</v>
      </c>
      <c r="B189" s="16" t="s">
        <v>104</v>
      </c>
      <c r="C189" s="145" t="str">
        <f t="shared" si="2"/>
        <v>Jongen 12-18 maandenriboflavine</v>
      </c>
      <c r="E189" s="16" t="s">
        <v>26</v>
      </c>
      <c r="F189" s="16" t="s">
        <v>164</v>
      </c>
      <c r="G189" s="136">
        <v>0.5</v>
      </c>
      <c r="H189" s="16" t="s">
        <v>134</v>
      </c>
      <c r="I189" s="16" t="s">
        <v>135</v>
      </c>
    </row>
    <row r="190" spans="1:9" x14ac:dyDescent="0.25">
      <c r="A190" s="129" t="s">
        <v>169</v>
      </c>
      <c r="B190" s="16" t="s">
        <v>14</v>
      </c>
      <c r="C190" s="145" t="str">
        <f t="shared" si="2"/>
        <v>Jongen 12-18 maandenB6</v>
      </c>
      <c r="E190" s="16" t="s">
        <v>26</v>
      </c>
      <c r="F190" s="16" t="s">
        <v>164</v>
      </c>
      <c r="G190" s="136">
        <v>0.4</v>
      </c>
      <c r="H190" s="16" t="s">
        <v>136</v>
      </c>
      <c r="I190" s="16" t="s">
        <v>135</v>
      </c>
    </row>
    <row r="191" spans="1:9" x14ac:dyDescent="0.25">
      <c r="A191" s="129" t="s">
        <v>169</v>
      </c>
      <c r="B191" s="16" t="s">
        <v>15</v>
      </c>
      <c r="C191" s="145" t="str">
        <f t="shared" si="2"/>
        <v>Jongen 12-18 maandenB12</v>
      </c>
      <c r="E191" s="16" t="s">
        <v>101</v>
      </c>
      <c r="F191" s="16" t="s">
        <v>164</v>
      </c>
      <c r="G191" s="136">
        <v>0.7</v>
      </c>
      <c r="H191" s="16" t="s">
        <v>136</v>
      </c>
      <c r="I191" s="16" t="s">
        <v>135</v>
      </c>
    </row>
    <row r="192" spans="1:9" x14ac:dyDescent="0.25">
      <c r="A192" s="129" t="s">
        <v>169</v>
      </c>
      <c r="B192" s="16" t="s">
        <v>105</v>
      </c>
      <c r="C192" s="145" t="str">
        <f t="shared" si="2"/>
        <v>Jongen 12-18 maandenniacine</v>
      </c>
      <c r="E192" s="16" t="s">
        <v>26</v>
      </c>
      <c r="F192" s="16" t="s">
        <v>164</v>
      </c>
      <c r="G192" s="136">
        <v>4</v>
      </c>
      <c r="H192" s="16" t="s">
        <v>134</v>
      </c>
      <c r="I192" s="16" t="s">
        <v>135</v>
      </c>
    </row>
    <row r="193" spans="1:9" x14ac:dyDescent="0.25">
      <c r="A193" s="129" t="s">
        <v>169</v>
      </c>
      <c r="B193" s="16" t="s">
        <v>107</v>
      </c>
      <c r="C193" s="145" t="str">
        <f t="shared" si="2"/>
        <v>Jongen 12-18 maandenfoliumzuur</v>
      </c>
      <c r="E193" s="16" t="s">
        <v>101</v>
      </c>
      <c r="F193" s="16" t="s">
        <v>164</v>
      </c>
      <c r="G193" s="136">
        <v>85</v>
      </c>
      <c r="H193" s="16" t="s">
        <v>136</v>
      </c>
      <c r="I193" s="16" t="s">
        <v>135</v>
      </c>
    </row>
    <row r="194" spans="1:9" x14ac:dyDescent="0.25">
      <c r="A194" s="129" t="s">
        <v>169</v>
      </c>
      <c r="B194" s="16" t="s">
        <v>108</v>
      </c>
      <c r="C194" s="145" t="str">
        <f t="shared" si="2"/>
        <v>Jongen 12-18 maandenpantotheenzuur</v>
      </c>
      <c r="E194" s="16" t="s">
        <v>26</v>
      </c>
      <c r="F194" s="16" t="s">
        <v>164</v>
      </c>
      <c r="G194" s="136">
        <v>2</v>
      </c>
      <c r="H194" s="16" t="s">
        <v>134</v>
      </c>
      <c r="I194" s="16" t="s">
        <v>126</v>
      </c>
    </row>
    <row r="195" spans="1:9" x14ac:dyDescent="0.25">
      <c r="A195" s="129" t="s">
        <v>169</v>
      </c>
      <c r="B195" s="16" t="s">
        <v>109</v>
      </c>
      <c r="C195" s="145" t="str">
        <f t="shared" si="2"/>
        <v>Jongen 12-18 maandenbiotine</v>
      </c>
      <c r="E195" s="16" t="s">
        <v>101</v>
      </c>
      <c r="F195" s="16" t="s">
        <v>164</v>
      </c>
      <c r="G195" s="136">
        <v>20</v>
      </c>
      <c r="H195" s="16" t="s">
        <v>138</v>
      </c>
      <c r="I195" s="16" t="s">
        <v>126</v>
      </c>
    </row>
    <row r="196" spans="1:9" x14ac:dyDescent="0.25">
      <c r="A196" s="129" t="s">
        <v>169</v>
      </c>
      <c r="B196" s="16" t="s">
        <v>23</v>
      </c>
      <c r="C196" s="145" t="str">
        <f t="shared" si="2"/>
        <v>Jongen 12-18 maandenC</v>
      </c>
      <c r="E196" s="16" t="s">
        <v>26</v>
      </c>
      <c r="F196" s="16" t="s">
        <v>164</v>
      </c>
      <c r="G196" s="136">
        <v>25</v>
      </c>
      <c r="H196" s="16" t="s">
        <v>129</v>
      </c>
      <c r="I196" s="16" t="s">
        <v>124</v>
      </c>
    </row>
    <row r="197" spans="1:9" ht="15" x14ac:dyDescent="0.25">
      <c r="A197" s="129" t="s">
        <v>169</v>
      </c>
      <c r="B197" s="139" t="s">
        <v>112</v>
      </c>
      <c r="C197" s="147" t="str">
        <f t="shared" ref="C197:C253" si="3">CONCATENATE(A197,B197)</f>
        <v>Jongen 12-18 maandenMINERALS</v>
      </c>
      <c r="D197" s="147"/>
      <c r="E197" s="140"/>
      <c r="F197" s="140"/>
      <c r="G197" s="141"/>
      <c r="H197" s="140"/>
      <c r="I197" s="140"/>
    </row>
    <row r="198" spans="1:9" x14ac:dyDescent="0.25">
      <c r="A198" s="129" t="s">
        <v>169</v>
      </c>
      <c r="B198" s="16" t="s">
        <v>32</v>
      </c>
      <c r="C198" s="145" t="str">
        <f t="shared" si="3"/>
        <v>Jongen 12-18 maandenCa</v>
      </c>
      <c r="E198" s="16" t="s">
        <v>26</v>
      </c>
      <c r="F198" s="16" t="s">
        <v>164</v>
      </c>
      <c r="G198" s="136">
        <v>500</v>
      </c>
      <c r="H198" s="16" t="s">
        <v>134</v>
      </c>
      <c r="I198" s="16" t="s">
        <v>126</v>
      </c>
    </row>
    <row r="199" spans="1:9" x14ac:dyDescent="0.25">
      <c r="A199" s="129" t="s">
        <v>169</v>
      </c>
      <c r="B199" s="16" t="s">
        <v>34</v>
      </c>
      <c r="C199" s="145" t="str">
        <f t="shared" si="3"/>
        <v>Jongen 12-18 maandenP</v>
      </c>
      <c r="E199" s="16" t="s">
        <v>26</v>
      </c>
      <c r="F199" s="16" t="s">
        <v>164</v>
      </c>
      <c r="G199" s="136">
        <v>470</v>
      </c>
      <c r="H199" s="16" t="s">
        <v>129</v>
      </c>
      <c r="I199" s="16" t="s">
        <v>124</v>
      </c>
    </row>
    <row r="200" spans="1:9" x14ac:dyDescent="0.25">
      <c r="A200" s="129" t="s">
        <v>169</v>
      </c>
      <c r="B200" s="16" t="s">
        <v>36</v>
      </c>
      <c r="C200" s="145" t="str">
        <f t="shared" si="3"/>
        <v>Jongen 12-18 maandenMg</v>
      </c>
      <c r="E200" s="16" t="s">
        <v>26</v>
      </c>
      <c r="F200" s="16" t="s">
        <v>164</v>
      </c>
      <c r="G200" s="136">
        <v>85</v>
      </c>
      <c r="H200" s="16" t="s">
        <v>129</v>
      </c>
      <c r="I200" s="16" t="s">
        <v>124</v>
      </c>
    </row>
    <row r="201" spans="1:9" x14ac:dyDescent="0.25">
      <c r="A201" s="129" t="s">
        <v>169</v>
      </c>
      <c r="B201" s="16" t="s">
        <v>38</v>
      </c>
      <c r="C201" s="145" t="str">
        <f t="shared" si="3"/>
        <v>Jongen 12-18 maandenFe</v>
      </c>
      <c r="E201" s="16" t="s">
        <v>26</v>
      </c>
      <c r="F201" s="16" t="s">
        <v>164</v>
      </c>
      <c r="G201" s="136">
        <v>8</v>
      </c>
      <c r="H201" s="16" t="s">
        <v>129</v>
      </c>
      <c r="I201" s="16" t="s">
        <v>124</v>
      </c>
    </row>
    <row r="202" spans="1:9" x14ac:dyDescent="0.25">
      <c r="A202" s="129" t="s">
        <v>169</v>
      </c>
      <c r="B202" s="16" t="s">
        <v>40</v>
      </c>
      <c r="C202" s="145" t="str">
        <f t="shared" si="3"/>
        <v>Jongen 12-18 maandenZn</v>
      </c>
      <c r="E202" s="16" t="s">
        <v>26</v>
      </c>
      <c r="F202" s="16" t="s">
        <v>164</v>
      </c>
      <c r="G202" s="136">
        <v>5</v>
      </c>
      <c r="H202" s="16" t="s">
        <v>129</v>
      </c>
      <c r="I202" s="16" t="s">
        <v>124</v>
      </c>
    </row>
    <row r="203" spans="1:9" x14ac:dyDescent="0.25">
      <c r="A203" s="129" t="s">
        <v>169</v>
      </c>
      <c r="B203" s="16" t="s">
        <v>42</v>
      </c>
      <c r="C203" s="145" t="str">
        <f t="shared" si="3"/>
        <v>Jongen 12-18 maandenMn</v>
      </c>
      <c r="E203" s="16" t="s">
        <v>26</v>
      </c>
      <c r="F203" s="16" t="s">
        <v>164</v>
      </c>
      <c r="G203" s="136">
        <v>0.5</v>
      </c>
      <c r="H203" s="16" t="s">
        <v>139</v>
      </c>
      <c r="I203" s="16" t="s">
        <v>126</v>
      </c>
    </row>
    <row r="204" spans="1:9" x14ac:dyDescent="0.25">
      <c r="A204" s="129" t="s">
        <v>169</v>
      </c>
      <c r="B204" s="16" t="s">
        <v>45</v>
      </c>
      <c r="C204" s="145" t="str">
        <f t="shared" si="3"/>
        <v>Jongen 12-18 maandenCu</v>
      </c>
      <c r="E204" s="16" t="s">
        <v>26</v>
      </c>
      <c r="F204" s="16" t="s">
        <v>164</v>
      </c>
      <c r="G204" s="136">
        <v>0.3</v>
      </c>
      <c r="H204" s="16" t="s">
        <v>129</v>
      </c>
      <c r="I204" s="16" t="s">
        <v>124</v>
      </c>
    </row>
    <row r="205" spans="1:9" x14ac:dyDescent="0.25">
      <c r="A205" s="129" t="s">
        <v>169</v>
      </c>
      <c r="B205" s="16" t="s">
        <v>47</v>
      </c>
      <c r="C205" s="145" t="str">
        <f t="shared" si="3"/>
        <v>Jongen 12-18 maandenI</v>
      </c>
      <c r="E205" s="16" t="s">
        <v>101</v>
      </c>
      <c r="F205" s="16" t="s">
        <v>164</v>
      </c>
      <c r="G205" s="136">
        <v>70</v>
      </c>
      <c r="H205" s="16" t="s">
        <v>129</v>
      </c>
      <c r="I205" s="16" t="s">
        <v>124</v>
      </c>
    </row>
    <row r="206" spans="1:9" x14ac:dyDescent="0.25">
      <c r="A206" s="129" t="s">
        <v>169</v>
      </c>
      <c r="B206" s="16" t="s">
        <v>49</v>
      </c>
      <c r="C206" s="145" t="str">
        <f t="shared" si="3"/>
        <v>Jongen 12-18 maandenMo</v>
      </c>
      <c r="E206" s="16" t="s">
        <v>101</v>
      </c>
      <c r="F206" s="16" t="s">
        <v>164</v>
      </c>
      <c r="G206" s="136">
        <v>15</v>
      </c>
      <c r="H206" s="16" t="s">
        <v>139</v>
      </c>
      <c r="I206" s="16" t="s">
        <v>126</v>
      </c>
    </row>
    <row r="207" spans="1:9" x14ac:dyDescent="0.25">
      <c r="A207" s="129" t="s">
        <v>169</v>
      </c>
      <c r="B207" s="16" t="s">
        <v>51</v>
      </c>
      <c r="C207" s="145" t="str">
        <f t="shared" si="3"/>
        <v>Jongen 12-18 maandenCr</v>
      </c>
      <c r="E207" s="16" t="s">
        <v>101</v>
      </c>
      <c r="F207" s="16" t="s">
        <v>164</v>
      </c>
      <c r="G207" s="136">
        <v>11</v>
      </c>
      <c r="H207" s="16" t="s">
        <v>140</v>
      </c>
      <c r="I207" s="16" t="s">
        <v>126</v>
      </c>
    </row>
    <row r="208" spans="1:9" x14ac:dyDescent="0.25">
      <c r="A208" s="129" t="s">
        <v>169</v>
      </c>
      <c r="B208" s="16" t="s">
        <v>53</v>
      </c>
      <c r="C208" s="145" t="str">
        <f t="shared" si="3"/>
        <v>Jongen 12-18 maandenSe</v>
      </c>
      <c r="E208" s="16" t="s">
        <v>101</v>
      </c>
      <c r="F208" s="16" t="s">
        <v>164</v>
      </c>
      <c r="G208" s="136">
        <v>20</v>
      </c>
      <c r="H208" s="16" t="s">
        <v>129</v>
      </c>
      <c r="I208" s="16" t="s">
        <v>124</v>
      </c>
    </row>
    <row r="209" spans="1:9" x14ac:dyDescent="0.25">
      <c r="A209" s="129" t="s">
        <v>169</v>
      </c>
      <c r="B209" s="16" t="s">
        <v>55</v>
      </c>
      <c r="C209" s="145" t="str">
        <f t="shared" si="3"/>
        <v>Jongen 12-18 maandenNa</v>
      </c>
      <c r="E209" s="16" t="s">
        <v>26</v>
      </c>
      <c r="F209" s="16" t="s">
        <v>164</v>
      </c>
      <c r="G209" s="136">
        <v>1000</v>
      </c>
      <c r="H209" s="16" t="s">
        <v>142</v>
      </c>
      <c r="I209" s="16" t="s">
        <v>143</v>
      </c>
    </row>
    <row r="210" spans="1:9" x14ac:dyDescent="0.25">
      <c r="A210" s="129" t="s">
        <v>169</v>
      </c>
      <c r="B210" s="16" t="s">
        <v>57</v>
      </c>
      <c r="C210" s="145" t="str">
        <f t="shared" si="3"/>
        <v xml:space="preserve">Jongen 12-18 maandenK </v>
      </c>
      <c r="E210" s="16" t="s">
        <v>26</v>
      </c>
      <c r="F210" s="16" t="s">
        <v>164</v>
      </c>
      <c r="G210" s="136">
        <v>1800</v>
      </c>
      <c r="H210" s="16" t="s">
        <v>129</v>
      </c>
      <c r="I210" s="16" t="s">
        <v>124</v>
      </c>
    </row>
    <row r="211" spans="1:9" x14ac:dyDescent="0.25">
      <c r="A211" s="129" t="s">
        <v>169</v>
      </c>
      <c r="B211" s="16" t="s">
        <v>60</v>
      </c>
      <c r="C211" s="145" t="str">
        <f t="shared" si="3"/>
        <v>Jongen 12-18 maandenCl</v>
      </c>
      <c r="E211" s="16" t="s">
        <v>26</v>
      </c>
      <c r="F211" s="16" t="s">
        <v>164</v>
      </c>
      <c r="G211" s="136">
        <v>1500</v>
      </c>
      <c r="H211" s="16" t="s">
        <v>144</v>
      </c>
      <c r="I211" s="16" t="s">
        <v>126</v>
      </c>
    </row>
    <row r="212" spans="1:9" ht="15" x14ac:dyDescent="0.25">
      <c r="A212" s="130" t="s">
        <v>172</v>
      </c>
      <c r="B212" s="139" t="s">
        <v>163</v>
      </c>
      <c r="C212" s="147" t="str">
        <f t="shared" si="3"/>
        <v>Meisje 12-18 maandenMACRO</v>
      </c>
      <c r="D212" s="147"/>
      <c r="E212" s="140"/>
      <c r="F212" s="140"/>
      <c r="G212" s="141"/>
      <c r="H212" s="140"/>
      <c r="I212" s="140"/>
    </row>
    <row r="213" spans="1:9" x14ac:dyDescent="0.25">
      <c r="A213" s="130" t="s">
        <v>172</v>
      </c>
      <c r="B213" s="16" t="s">
        <v>35</v>
      </c>
      <c r="C213" s="145" t="str">
        <f t="shared" si="3"/>
        <v>Meisje 12-18 maandenEnergie</v>
      </c>
      <c r="E213" s="16" t="s">
        <v>170</v>
      </c>
      <c r="F213" s="16" t="s">
        <v>164</v>
      </c>
      <c r="G213" s="136">
        <v>1122.5757141491999</v>
      </c>
      <c r="H213" s="16" t="s">
        <v>121</v>
      </c>
      <c r="I213" s="16" t="s">
        <v>122</v>
      </c>
    </row>
    <row r="214" spans="1:9" x14ac:dyDescent="0.25">
      <c r="A214" s="130" t="s">
        <v>172</v>
      </c>
      <c r="B214" s="16" t="s">
        <v>37</v>
      </c>
      <c r="C214" s="145" t="str">
        <f t="shared" si="3"/>
        <v>Meisje 12-18 maandenEiwit</v>
      </c>
      <c r="E214" s="16" t="s">
        <v>123</v>
      </c>
      <c r="F214" s="16" t="s">
        <v>164</v>
      </c>
      <c r="G214" s="136">
        <v>13</v>
      </c>
      <c r="H214" s="16" t="s">
        <v>121</v>
      </c>
      <c r="I214" s="16" t="s">
        <v>124</v>
      </c>
    </row>
    <row r="215" spans="1:9" x14ac:dyDescent="0.25">
      <c r="A215" s="130" t="s">
        <v>172</v>
      </c>
      <c r="B215" s="16" t="s">
        <v>39</v>
      </c>
      <c r="C215" s="145" t="str">
        <f t="shared" si="3"/>
        <v>Meisje 12-18 maandenVetten</v>
      </c>
      <c r="D215" s="145" t="s">
        <v>118</v>
      </c>
      <c r="E215" s="16" t="s">
        <v>123</v>
      </c>
      <c r="F215" s="16" t="s">
        <v>164</v>
      </c>
      <c r="G215" s="136">
        <v>53.08</v>
      </c>
      <c r="H215" s="16" t="s">
        <v>121</v>
      </c>
      <c r="I215" s="16" t="s">
        <v>126</v>
      </c>
    </row>
    <row r="216" spans="1:9" x14ac:dyDescent="0.25">
      <c r="A216" s="130" t="s">
        <v>172</v>
      </c>
      <c r="B216" s="16" t="s">
        <v>98</v>
      </c>
      <c r="C216" s="145" t="str">
        <f t="shared" si="3"/>
        <v>Meisje 12-18 maandenLCT</v>
      </c>
      <c r="G216" s="136"/>
    </row>
    <row r="217" spans="1:9" x14ac:dyDescent="0.25">
      <c r="A217" s="130" t="s">
        <v>172</v>
      </c>
      <c r="B217" s="16" t="s">
        <v>41</v>
      </c>
      <c r="C217" s="145" t="str">
        <f t="shared" si="3"/>
        <v>Meisje 12-18 maandenMCT</v>
      </c>
      <c r="G217" s="136"/>
    </row>
    <row r="218" spans="1:9" x14ac:dyDescent="0.25">
      <c r="A218" s="130" t="s">
        <v>172</v>
      </c>
      <c r="B218" s="16" t="s">
        <v>48</v>
      </c>
      <c r="C218" s="145" t="str">
        <f t="shared" si="3"/>
        <v>Meisje 12-18 maandenDHA</v>
      </c>
      <c r="G218" s="136"/>
    </row>
    <row r="219" spans="1:9" x14ac:dyDescent="0.25">
      <c r="A219" s="130" t="s">
        <v>172</v>
      </c>
      <c r="B219" s="16" t="s">
        <v>50</v>
      </c>
      <c r="C219" s="145" t="str">
        <f t="shared" si="3"/>
        <v>Meisje 12-18 maandenAA</v>
      </c>
      <c r="G219" s="136"/>
    </row>
    <row r="220" spans="1:9" x14ac:dyDescent="0.25">
      <c r="A220" s="130" t="s">
        <v>172</v>
      </c>
      <c r="B220" s="16" t="s">
        <v>44</v>
      </c>
      <c r="C220" s="145" t="str">
        <f t="shared" si="3"/>
        <v>Meisje 12-18 maandenlinolzuur</v>
      </c>
      <c r="E220" s="16" t="s">
        <v>123</v>
      </c>
      <c r="F220" s="16" t="s">
        <v>164</v>
      </c>
      <c r="G220" s="136">
        <v>2.49461269810933</v>
      </c>
      <c r="H220" s="16" t="s">
        <v>121</v>
      </c>
      <c r="I220" s="16" t="s">
        <v>126</v>
      </c>
    </row>
    <row r="221" spans="1:9" x14ac:dyDescent="0.25">
      <c r="A221" s="130" t="s">
        <v>172</v>
      </c>
      <c r="B221" s="16" t="s">
        <v>46</v>
      </c>
      <c r="C221" s="145" t="str">
        <f t="shared" si="3"/>
        <v>Meisje 12-18 maandenα-linoleenzuur</v>
      </c>
      <c r="E221" s="16" t="s">
        <v>123</v>
      </c>
      <c r="F221" s="16" t="s">
        <v>164</v>
      </c>
      <c r="G221" s="136">
        <v>1.2473063490546701</v>
      </c>
      <c r="H221" s="16" t="s">
        <v>121</v>
      </c>
      <c r="I221" s="16" t="s">
        <v>126</v>
      </c>
    </row>
    <row r="222" spans="1:9" x14ac:dyDescent="0.25">
      <c r="A222" s="130" t="s">
        <v>172</v>
      </c>
      <c r="B222" s="16" t="s">
        <v>52</v>
      </c>
      <c r="C222" s="145" t="str">
        <f t="shared" si="3"/>
        <v>Meisje 12-18 maandenKoolhydraten</v>
      </c>
      <c r="E222" s="16" t="s">
        <v>123</v>
      </c>
      <c r="F222" s="16" t="s">
        <v>164</v>
      </c>
      <c r="G222" s="136">
        <v>126.28976784178499</v>
      </c>
      <c r="H222" s="16" t="s">
        <v>121</v>
      </c>
      <c r="I222" s="16" t="s">
        <v>124</v>
      </c>
    </row>
    <row r="223" spans="1:9" x14ac:dyDescent="0.25">
      <c r="A223" s="130" t="s">
        <v>172</v>
      </c>
      <c r="B223" s="16" t="s">
        <v>54</v>
      </c>
      <c r="C223" s="145" t="str">
        <f t="shared" si="3"/>
        <v>Meisje 12-18 maandenVezels</v>
      </c>
      <c r="E223" s="16" t="s">
        <v>123</v>
      </c>
      <c r="F223" s="16" t="s">
        <v>164</v>
      </c>
      <c r="G223" s="136">
        <v>15</v>
      </c>
      <c r="H223" s="16" t="s">
        <v>171</v>
      </c>
      <c r="I223" s="16" t="s">
        <v>124</v>
      </c>
    </row>
    <row r="224" spans="1:9" x14ac:dyDescent="0.25">
      <c r="A224" s="130" t="s">
        <v>172</v>
      </c>
      <c r="B224" s="16" t="s">
        <v>56</v>
      </c>
      <c r="C224" s="145" t="str">
        <f t="shared" si="3"/>
        <v>Meisje 12-18 maandenVocht</v>
      </c>
      <c r="G224" s="136"/>
    </row>
    <row r="225" spans="1:9" ht="15" x14ac:dyDescent="0.25">
      <c r="A225" s="130" t="s">
        <v>172</v>
      </c>
      <c r="B225" s="139" t="s">
        <v>99</v>
      </c>
      <c r="C225" s="147" t="str">
        <f t="shared" si="3"/>
        <v>Meisje 12-18 maandenVITAMINS</v>
      </c>
      <c r="D225" s="147"/>
      <c r="E225" s="140"/>
      <c r="F225" s="140"/>
      <c r="G225" s="141"/>
      <c r="H225" s="140"/>
      <c r="I225" s="140"/>
    </row>
    <row r="226" spans="1:9" x14ac:dyDescent="0.25">
      <c r="A226" s="130" t="s">
        <v>172</v>
      </c>
      <c r="B226" s="16" t="s">
        <v>7</v>
      </c>
      <c r="C226" s="145" t="str">
        <f t="shared" si="3"/>
        <v>Meisje 12-18 maandenA</v>
      </c>
      <c r="E226" s="16" t="s">
        <v>101</v>
      </c>
      <c r="F226" s="16" t="s">
        <v>164</v>
      </c>
      <c r="G226" s="136">
        <v>300</v>
      </c>
      <c r="H226" s="16" t="s">
        <v>129</v>
      </c>
      <c r="I226" s="16" t="s">
        <v>124</v>
      </c>
    </row>
    <row r="227" spans="1:9" x14ac:dyDescent="0.25">
      <c r="A227" s="130" t="s">
        <v>172</v>
      </c>
      <c r="B227" s="16" t="s">
        <v>8</v>
      </c>
      <c r="C227" s="145" t="str">
        <f t="shared" si="3"/>
        <v>Meisje 12-18 maandenD</v>
      </c>
      <c r="E227" s="16" t="s">
        <v>101</v>
      </c>
      <c r="F227" s="16" t="s">
        <v>164</v>
      </c>
      <c r="G227" s="136">
        <v>10</v>
      </c>
      <c r="H227" s="16" t="s">
        <v>130</v>
      </c>
      <c r="I227" s="16" t="s">
        <v>126</v>
      </c>
    </row>
    <row r="228" spans="1:9" x14ac:dyDescent="0.25">
      <c r="A228" s="130" t="s">
        <v>172</v>
      </c>
      <c r="B228" s="16" t="s">
        <v>9</v>
      </c>
      <c r="C228" s="145" t="str">
        <f t="shared" si="3"/>
        <v>Meisje 12-18 maandenE</v>
      </c>
      <c r="E228" s="16" t="s">
        <v>26</v>
      </c>
      <c r="F228" s="16" t="s">
        <v>164</v>
      </c>
      <c r="G228" s="136">
        <v>4</v>
      </c>
      <c r="H228" s="16" t="s">
        <v>129</v>
      </c>
      <c r="I228" s="16" t="s">
        <v>124</v>
      </c>
    </row>
    <row r="229" spans="1:9" x14ac:dyDescent="0.25">
      <c r="A229" s="130" t="s">
        <v>172</v>
      </c>
      <c r="B229" s="16" t="s">
        <v>10</v>
      </c>
      <c r="C229" s="145" t="str">
        <f t="shared" si="3"/>
        <v>Meisje 12-18 maandenK</v>
      </c>
      <c r="E229" s="16" t="s">
        <v>101</v>
      </c>
      <c r="F229" s="16" t="s">
        <v>164</v>
      </c>
      <c r="G229" s="136">
        <v>30</v>
      </c>
      <c r="H229" s="16" t="s">
        <v>132</v>
      </c>
      <c r="I229" s="16" t="s">
        <v>126</v>
      </c>
    </row>
    <row r="230" spans="1:9" x14ac:dyDescent="0.25">
      <c r="A230" s="130" t="s">
        <v>172</v>
      </c>
      <c r="B230" s="16" t="s">
        <v>103</v>
      </c>
      <c r="C230" s="145" t="str">
        <f t="shared" si="3"/>
        <v>Meisje 12-18 maandenthiamine</v>
      </c>
      <c r="E230" s="16" t="s">
        <v>26</v>
      </c>
      <c r="F230" s="16" t="s">
        <v>164</v>
      </c>
      <c r="G230" s="136">
        <v>0.3</v>
      </c>
      <c r="H230" s="16" t="s">
        <v>134</v>
      </c>
      <c r="I230" s="16" t="s">
        <v>135</v>
      </c>
    </row>
    <row r="231" spans="1:9" x14ac:dyDescent="0.25">
      <c r="A231" s="130" t="s">
        <v>172</v>
      </c>
      <c r="B231" s="16" t="s">
        <v>104</v>
      </c>
      <c r="C231" s="145" t="str">
        <f t="shared" si="3"/>
        <v>Meisje 12-18 maandenriboflavine</v>
      </c>
      <c r="E231" s="16" t="s">
        <v>26</v>
      </c>
      <c r="F231" s="16" t="s">
        <v>164</v>
      </c>
      <c r="G231" s="136">
        <v>0.5</v>
      </c>
      <c r="H231" s="16" t="s">
        <v>134</v>
      </c>
      <c r="I231" s="16" t="s">
        <v>135</v>
      </c>
    </row>
    <row r="232" spans="1:9" x14ac:dyDescent="0.25">
      <c r="A232" s="130" t="s">
        <v>172</v>
      </c>
      <c r="B232" s="16" t="s">
        <v>14</v>
      </c>
      <c r="C232" s="145" t="str">
        <f t="shared" si="3"/>
        <v>Meisje 12-18 maandenB6</v>
      </c>
      <c r="E232" s="16" t="s">
        <v>26</v>
      </c>
      <c r="F232" s="16" t="s">
        <v>164</v>
      </c>
      <c r="G232" s="136">
        <v>0.4</v>
      </c>
      <c r="H232" s="16" t="s">
        <v>136</v>
      </c>
      <c r="I232" s="16" t="s">
        <v>135</v>
      </c>
    </row>
    <row r="233" spans="1:9" x14ac:dyDescent="0.25">
      <c r="A233" s="130" t="s">
        <v>172</v>
      </c>
      <c r="B233" s="16" t="s">
        <v>15</v>
      </c>
      <c r="C233" s="145" t="str">
        <f t="shared" si="3"/>
        <v>Meisje 12-18 maandenB12</v>
      </c>
      <c r="E233" s="16" t="s">
        <v>101</v>
      </c>
      <c r="F233" s="16" t="s">
        <v>164</v>
      </c>
      <c r="G233" s="136">
        <v>0.7</v>
      </c>
      <c r="H233" s="16" t="s">
        <v>136</v>
      </c>
      <c r="I233" s="16" t="s">
        <v>135</v>
      </c>
    </row>
    <row r="234" spans="1:9" x14ac:dyDescent="0.25">
      <c r="A234" s="130" t="s">
        <v>172</v>
      </c>
      <c r="B234" s="16" t="s">
        <v>105</v>
      </c>
      <c r="C234" s="145" t="str">
        <f t="shared" si="3"/>
        <v>Meisje 12-18 maandenniacine</v>
      </c>
      <c r="E234" s="16" t="s">
        <v>26</v>
      </c>
      <c r="F234" s="16" t="s">
        <v>164</v>
      </c>
      <c r="G234" s="136">
        <v>4</v>
      </c>
      <c r="H234" s="16" t="s">
        <v>134</v>
      </c>
      <c r="I234" s="16" t="s">
        <v>135</v>
      </c>
    </row>
    <row r="235" spans="1:9" x14ac:dyDescent="0.25">
      <c r="A235" s="130" t="s">
        <v>172</v>
      </c>
      <c r="B235" s="16" t="s">
        <v>107</v>
      </c>
      <c r="C235" s="145" t="str">
        <f t="shared" si="3"/>
        <v>Meisje 12-18 maandenfoliumzuur</v>
      </c>
      <c r="E235" s="16" t="s">
        <v>101</v>
      </c>
      <c r="F235" s="16" t="s">
        <v>164</v>
      </c>
      <c r="G235" s="136">
        <v>85</v>
      </c>
      <c r="H235" s="16" t="s">
        <v>136</v>
      </c>
      <c r="I235" s="16" t="s">
        <v>135</v>
      </c>
    </row>
    <row r="236" spans="1:9" x14ac:dyDescent="0.25">
      <c r="A236" s="130" t="s">
        <v>172</v>
      </c>
      <c r="B236" s="16" t="s">
        <v>108</v>
      </c>
      <c r="C236" s="145" t="str">
        <f t="shared" si="3"/>
        <v>Meisje 12-18 maandenpantotheenzuur</v>
      </c>
      <c r="E236" s="16" t="s">
        <v>26</v>
      </c>
      <c r="F236" s="16" t="s">
        <v>164</v>
      </c>
      <c r="G236" s="136">
        <v>2</v>
      </c>
      <c r="H236" s="16" t="s">
        <v>134</v>
      </c>
      <c r="I236" s="16" t="s">
        <v>126</v>
      </c>
    </row>
    <row r="237" spans="1:9" x14ac:dyDescent="0.25">
      <c r="A237" s="130" t="s">
        <v>172</v>
      </c>
      <c r="B237" s="16" t="s">
        <v>109</v>
      </c>
      <c r="C237" s="145" t="str">
        <f t="shared" si="3"/>
        <v>Meisje 12-18 maandenbiotine</v>
      </c>
      <c r="E237" s="16" t="s">
        <v>101</v>
      </c>
      <c r="F237" s="16" t="s">
        <v>164</v>
      </c>
      <c r="G237" s="136">
        <v>20</v>
      </c>
      <c r="H237" s="16" t="s">
        <v>138</v>
      </c>
      <c r="I237" s="16" t="s">
        <v>126</v>
      </c>
    </row>
    <row r="238" spans="1:9" x14ac:dyDescent="0.25">
      <c r="A238" s="130" t="s">
        <v>172</v>
      </c>
      <c r="B238" s="16" t="s">
        <v>23</v>
      </c>
      <c r="C238" s="145" t="str">
        <f t="shared" si="3"/>
        <v>Meisje 12-18 maandenC</v>
      </c>
      <c r="E238" s="16" t="s">
        <v>26</v>
      </c>
      <c r="F238" s="16" t="s">
        <v>164</v>
      </c>
      <c r="G238" s="136">
        <v>25</v>
      </c>
      <c r="H238" s="16" t="s">
        <v>129</v>
      </c>
      <c r="I238" s="16" t="s">
        <v>124</v>
      </c>
    </row>
    <row r="239" spans="1:9" ht="15" x14ac:dyDescent="0.25">
      <c r="A239" s="130" t="s">
        <v>172</v>
      </c>
      <c r="B239" s="139" t="s">
        <v>112</v>
      </c>
      <c r="C239" s="147" t="str">
        <f t="shared" si="3"/>
        <v>Meisje 12-18 maandenMINERALS</v>
      </c>
      <c r="D239" s="147"/>
      <c r="E239" s="140"/>
      <c r="F239" s="140"/>
      <c r="G239" s="141"/>
      <c r="H239" s="140"/>
      <c r="I239" s="140"/>
    </row>
    <row r="240" spans="1:9" x14ac:dyDescent="0.25">
      <c r="A240" s="130" t="s">
        <v>172</v>
      </c>
      <c r="B240" s="16" t="s">
        <v>32</v>
      </c>
      <c r="C240" s="145" t="str">
        <f t="shared" si="3"/>
        <v>Meisje 12-18 maandenCa</v>
      </c>
      <c r="E240" s="16" t="s">
        <v>26</v>
      </c>
      <c r="F240" s="16" t="s">
        <v>164</v>
      </c>
      <c r="G240" s="136">
        <v>500</v>
      </c>
      <c r="H240" s="16" t="s">
        <v>134</v>
      </c>
      <c r="I240" s="16" t="s">
        <v>126</v>
      </c>
    </row>
    <row r="241" spans="1:9" x14ac:dyDescent="0.25">
      <c r="A241" s="130" t="s">
        <v>172</v>
      </c>
      <c r="B241" s="16" t="s">
        <v>34</v>
      </c>
      <c r="C241" s="145" t="str">
        <f t="shared" si="3"/>
        <v>Meisje 12-18 maandenP</v>
      </c>
      <c r="E241" s="16" t="s">
        <v>26</v>
      </c>
      <c r="F241" s="16" t="s">
        <v>164</v>
      </c>
      <c r="G241" s="136">
        <v>470</v>
      </c>
      <c r="H241" s="16" t="s">
        <v>129</v>
      </c>
      <c r="I241" s="16" t="s">
        <v>124</v>
      </c>
    </row>
    <row r="242" spans="1:9" x14ac:dyDescent="0.25">
      <c r="A242" s="130" t="s">
        <v>172</v>
      </c>
      <c r="B242" s="16" t="s">
        <v>36</v>
      </c>
      <c r="C242" s="145" t="str">
        <f t="shared" si="3"/>
        <v>Meisje 12-18 maandenMg</v>
      </c>
      <c r="E242" s="16" t="s">
        <v>26</v>
      </c>
      <c r="F242" s="16" t="s">
        <v>164</v>
      </c>
      <c r="G242" s="136">
        <v>85</v>
      </c>
      <c r="H242" s="16" t="s">
        <v>129</v>
      </c>
      <c r="I242" s="16" t="s">
        <v>124</v>
      </c>
    </row>
    <row r="243" spans="1:9" x14ac:dyDescent="0.25">
      <c r="A243" s="130" t="s">
        <v>172</v>
      </c>
      <c r="B243" s="16" t="s">
        <v>38</v>
      </c>
      <c r="C243" s="145" t="str">
        <f t="shared" si="3"/>
        <v>Meisje 12-18 maandenFe</v>
      </c>
      <c r="E243" s="16" t="s">
        <v>26</v>
      </c>
      <c r="F243" s="16" t="s">
        <v>164</v>
      </c>
      <c r="G243" s="136">
        <v>8</v>
      </c>
      <c r="H243" s="16" t="s">
        <v>129</v>
      </c>
      <c r="I243" s="16" t="s">
        <v>124</v>
      </c>
    </row>
    <row r="244" spans="1:9" x14ac:dyDescent="0.25">
      <c r="A244" s="130" t="s">
        <v>172</v>
      </c>
      <c r="B244" s="16" t="s">
        <v>40</v>
      </c>
      <c r="C244" s="145" t="str">
        <f t="shared" si="3"/>
        <v>Meisje 12-18 maandenZn</v>
      </c>
      <c r="E244" s="16" t="s">
        <v>26</v>
      </c>
      <c r="F244" s="16" t="s">
        <v>164</v>
      </c>
      <c r="G244" s="136">
        <v>5</v>
      </c>
      <c r="H244" s="16" t="s">
        <v>129</v>
      </c>
      <c r="I244" s="16" t="s">
        <v>124</v>
      </c>
    </row>
    <row r="245" spans="1:9" x14ac:dyDescent="0.25">
      <c r="A245" s="130" t="s">
        <v>172</v>
      </c>
      <c r="B245" s="16" t="s">
        <v>42</v>
      </c>
      <c r="C245" s="145" t="str">
        <f t="shared" si="3"/>
        <v>Meisje 12-18 maandenMn</v>
      </c>
      <c r="E245" s="16" t="s">
        <v>26</v>
      </c>
      <c r="F245" s="16" t="s">
        <v>164</v>
      </c>
      <c r="G245" s="136">
        <v>0.5</v>
      </c>
      <c r="H245" s="16" t="s">
        <v>139</v>
      </c>
      <c r="I245" s="16" t="s">
        <v>126</v>
      </c>
    </row>
    <row r="246" spans="1:9" x14ac:dyDescent="0.25">
      <c r="A246" s="130" t="s">
        <v>172</v>
      </c>
      <c r="B246" s="16" t="s">
        <v>45</v>
      </c>
      <c r="C246" s="145" t="str">
        <f t="shared" si="3"/>
        <v>Meisje 12-18 maandenCu</v>
      </c>
      <c r="E246" s="16" t="s">
        <v>26</v>
      </c>
      <c r="F246" s="16" t="s">
        <v>164</v>
      </c>
      <c r="G246" s="136">
        <v>0.3</v>
      </c>
      <c r="H246" s="16" t="s">
        <v>129</v>
      </c>
      <c r="I246" s="16" t="s">
        <v>124</v>
      </c>
    </row>
    <row r="247" spans="1:9" x14ac:dyDescent="0.25">
      <c r="A247" s="130" t="s">
        <v>172</v>
      </c>
      <c r="B247" s="16" t="s">
        <v>47</v>
      </c>
      <c r="C247" s="145" t="str">
        <f t="shared" si="3"/>
        <v>Meisje 12-18 maandenI</v>
      </c>
      <c r="E247" s="16" t="s">
        <v>101</v>
      </c>
      <c r="F247" s="16" t="s">
        <v>164</v>
      </c>
      <c r="G247" s="136">
        <v>70</v>
      </c>
      <c r="H247" s="16" t="s">
        <v>129</v>
      </c>
      <c r="I247" s="16" t="s">
        <v>124</v>
      </c>
    </row>
    <row r="248" spans="1:9" x14ac:dyDescent="0.25">
      <c r="A248" s="130" t="s">
        <v>172</v>
      </c>
      <c r="B248" s="16" t="s">
        <v>49</v>
      </c>
      <c r="C248" s="145" t="str">
        <f t="shared" si="3"/>
        <v>Meisje 12-18 maandenMo</v>
      </c>
      <c r="E248" s="16" t="s">
        <v>101</v>
      </c>
      <c r="F248" s="16" t="s">
        <v>164</v>
      </c>
      <c r="G248" s="136">
        <v>15</v>
      </c>
      <c r="H248" s="16" t="s">
        <v>139</v>
      </c>
      <c r="I248" s="16" t="s">
        <v>126</v>
      </c>
    </row>
    <row r="249" spans="1:9" x14ac:dyDescent="0.25">
      <c r="A249" s="130" t="s">
        <v>172</v>
      </c>
      <c r="B249" s="16" t="s">
        <v>51</v>
      </c>
      <c r="C249" s="145" t="str">
        <f t="shared" si="3"/>
        <v>Meisje 12-18 maandenCr</v>
      </c>
      <c r="E249" s="16" t="s">
        <v>101</v>
      </c>
      <c r="F249" s="16" t="s">
        <v>164</v>
      </c>
      <c r="G249" s="136">
        <v>11</v>
      </c>
      <c r="H249" s="16" t="s">
        <v>140</v>
      </c>
      <c r="I249" s="16" t="s">
        <v>126</v>
      </c>
    </row>
    <row r="250" spans="1:9" x14ac:dyDescent="0.25">
      <c r="A250" s="130" t="s">
        <v>172</v>
      </c>
      <c r="B250" s="16" t="s">
        <v>53</v>
      </c>
      <c r="C250" s="145" t="str">
        <f t="shared" si="3"/>
        <v>Meisje 12-18 maandenSe</v>
      </c>
      <c r="E250" s="16" t="s">
        <v>101</v>
      </c>
      <c r="F250" s="16" t="s">
        <v>164</v>
      </c>
      <c r="G250" s="136">
        <v>20</v>
      </c>
      <c r="H250" s="16" t="s">
        <v>129</v>
      </c>
      <c r="I250" s="16" t="s">
        <v>124</v>
      </c>
    </row>
    <row r="251" spans="1:9" x14ac:dyDescent="0.25">
      <c r="A251" s="130" t="s">
        <v>172</v>
      </c>
      <c r="B251" s="16" t="s">
        <v>55</v>
      </c>
      <c r="C251" s="145" t="str">
        <f t="shared" si="3"/>
        <v>Meisje 12-18 maandenNa</v>
      </c>
      <c r="E251" s="16" t="s">
        <v>26</v>
      </c>
      <c r="F251" s="16" t="s">
        <v>164</v>
      </c>
      <c r="G251" s="136">
        <v>1000</v>
      </c>
      <c r="H251" s="16" t="s">
        <v>142</v>
      </c>
      <c r="I251" s="16" t="s">
        <v>143</v>
      </c>
    </row>
    <row r="252" spans="1:9" x14ac:dyDescent="0.25">
      <c r="A252" s="130" t="s">
        <v>172</v>
      </c>
      <c r="B252" s="16" t="s">
        <v>57</v>
      </c>
      <c r="C252" s="145" t="str">
        <f t="shared" si="3"/>
        <v xml:space="preserve">Meisje 12-18 maandenK </v>
      </c>
      <c r="E252" s="16" t="s">
        <v>26</v>
      </c>
      <c r="F252" s="16" t="s">
        <v>164</v>
      </c>
      <c r="G252" s="136">
        <v>1800</v>
      </c>
      <c r="H252" s="16" t="s">
        <v>129</v>
      </c>
      <c r="I252" s="16" t="s">
        <v>124</v>
      </c>
    </row>
    <row r="253" spans="1:9" x14ac:dyDescent="0.25">
      <c r="A253" s="130" t="s">
        <v>172</v>
      </c>
      <c r="B253" s="16" t="s">
        <v>60</v>
      </c>
      <c r="C253" s="145" t="str">
        <f t="shared" si="3"/>
        <v>Meisje 12-18 maandenCl</v>
      </c>
      <c r="E253" s="16" t="s">
        <v>26</v>
      </c>
      <c r="F253" s="16" t="s">
        <v>164</v>
      </c>
      <c r="G253" s="136">
        <v>1500</v>
      </c>
      <c r="H253" s="16" t="s">
        <v>144</v>
      </c>
      <c r="I253" s="16" t="s">
        <v>126</v>
      </c>
    </row>
    <row r="254" spans="1:9" x14ac:dyDescent="0.25">
      <c r="C254" s="145"/>
    </row>
  </sheetData>
  <autoFilter ref="A2:N253" xr:uid="{33A8AC43-D835-4668-BFD8-4B1DF86D220B}"/>
  <pageMargins left="0.7" right="0.7" top="0.75" bottom="0.75" header="0.3" footer="0.3"/>
  <extLst>
    <ext xmlns:mx="http://schemas.microsoft.com/office/mac/excel/2008/main" uri="{64002731-A6B0-56B0-2670-7721B7C09600}">
      <mx:PLV Mode="0" OnePage="0" WScale="0"/>
    </ext>
  </extLst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700-000000000000}">
  <sheetPr codeName="Sheet7"/>
  <dimension ref="A1:I52"/>
  <sheetViews>
    <sheetView workbookViewId="0">
      <selection activeCell="F5" sqref="F5:F47"/>
    </sheetView>
  </sheetViews>
  <sheetFormatPr defaultColWidth="8.88671875" defaultRowHeight="13.8" x14ac:dyDescent="0.25"/>
  <cols>
    <col min="1" max="1" width="15" style="16" customWidth="1"/>
    <col min="2" max="2" width="8.6640625" style="16" customWidth="1"/>
    <col min="3" max="3" width="23" style="16" customWidth="1"/>
    <col min="4" max="4" width="8.88671875" style="16"/>
    <col min="5" max="7" width="23.6640625" style="16" customWidth="1"/>
    <col min="8" max="16384" width="8.88671875" style="16"/>
  </cols>
  <sheetData>
    <row r="1" spans="1:9" ht="15" x14ac:dyDescent="0.25">
      <c r="E1" s="23" t="s">
        <v>173</v>
      </c>
      <c r="F1" s="23" t="s">
        <v>174</v>
      </c>
      <c r="G1" s="23" t="s">
        <v>116</v>
      </c>
      <c r="H1" s="23" t="s">
        <v>117</v>
      </c>
    </row>
    <row r="4" spans="1:9" ht="15" x14ac:dyDescent="0.25">
      <c r="A4" s="296" t="s">
        <v>175</v>
      </c>
      <c r="B4" s="296"/>
      <c r="C4" s="25"/>
      <c r="D4" s="26" t="s">
        <v>119</v>
      </c>
      <c r="E4" s="26"/>
      <c r="F4" s="26"/>
      <c r="G4" s="26"/>
      <c r="H4" s="26"/>
    </row>
    <row r="5" spans="1:9" ht="34.5" customHeight="1" x14ac:dyDescent="0.25">
      <c r="A5" s="28" t="s">
        <v>35</v>
      </c>
      <c r="B5" s="28"/>
      <c r="C5" s="28"/>
      <c r="D5" s="16" t="s">
        <v>170</v>
      </c>
      <c r="E5" s="54">
        <v>1194.2294831375</v>
      </c>
      <c r="F5" s="54">
        <v>1122.5757141491999</v>
      </c>
      <c r="G5" s="16" t="s">
        <v>121</v>
      </c>
      <c r="H5" s="16" t="s">
        <v>122</v>
      </c>
    </row>
    <row r="6" spans="1:9" x14ac:dyDescent="0.25">
      <c r="A6" s="31" t="s">
        <v>37</v>
      </c>
      <c r="B6" s="31"/>
      <c r="C6" s="31"/>
      <c r="D6" s="16" t="s">
        <v>123</v>
      </c>
      <c r="E6" s="24">
        <v>14</v>
      </c>
      <c r="F6" s="24">
        <v>13</v>
      </c>
      <c r="G6" s="16" t="s">
        <v>121</v>
      </c>
      <c r="H6" s="24" t="s">
        <v>124</v>
      </c>
    </row>
    <row r="7" spans="1:9" x14ac:dyDescent="0.25">
      <c r="A7" s="28" t="s">
        <v>39</v>
      </c>
      <c r="B7" s="28"/>
      <c r="C7" s="53" t="s">
        <v>118</v>
      </c>
      <c r="D7" s="16" t="s">
        <v>123</v>
      </c>
      <c r="E7" s="55">
        <v>53.08</v>
      </c>
      <c r="F7" s="55">
        <v>53.08</v>
      </c>
      <c r="G7" s="16" t="s">
        <v>121</v>
      </c>
      <c r="H7" s="16" t="s">
        <v>126</v>
      </c>
    </row>
    <row r="8" spans="1:9" x14ac:dyDescent="0.25">
      <c r="A8" s="31" t="s">
        <v>98</v>
      </c>
      <c r="B8" s="31"/>
      <c r="C8" s="53"/>
      <c r="E8" s="55"/>
      <c r="F8" s="55"/>
    </row>
    <row r="9" spans="1:9" x14ac:dyDescent="0.25">
      <c r="A9" s="28" t="s">
        <v>41</v>
      </c>
      <c r="B9" s="28"/>
      <c r="C9" s="53"/>
      <c r="E9" s="55"/>
      <c r="F9" s="55"/>
    </row>
    <row r="10" spans="1:9" x14ac:dyDescent="0.25">
      <c r="A10" s="31" t="s">
        <v>48</v>
      </c>
      <c r="B10" s="31"/>
      <c r="C10" s="53"/>
      <c r="E10" s="55"/>
      <c r="F10" s="55"/>
    </row>
    <row r="11" spans="1:9" x14ac:dyDescent="0.25">
      <c r="A11" s="28" t="s">
        <v>50</v>
      </c>
      <c r="B11" s="28"/>
      <c r="C11" s="53"/>
      <c r="E11" s="55"/>
      <c r="F11" s="55"/>
    </row>
    <row r="12" spans="1:9" x14ac:dyDescent="0.25">
      <c r="A12" s="31" t="s">
        <v>44</v>
      </c>
      <c r="B12" s="31"/>
      <c r="C12" s="31"/>
      <c r="D12" s="16" t="s">
        <v>123</v>
      </c>
      <c r="E12" s="56">
        <v>2.6538432958611109</v>
      </c>
      <c r="F12" s="56">
        <v>2.49461269810933</v>
      </c>
      <c r="G12" s="16" t="s">
        <v>121</v>
      </c>
      <c r="H12" s="16" t="s">
        <v>126</v>
      </c>
    </row>
    <row r="13" spans="1:9" x14ac:dyDescent="0.25">
      <c r="A13" s="28" t="s">
        <v>46</v>
      </c>
      <c r="B13" s="28"/>
      <c r="C13" s="28"/>
      <c r="D13" s="16" t="s">
        <v>123</v>
      </c>
      <c r="E13" s="52">
        <v>1.3269216479305554</v>
      </c>
      <c r="F13" s="52">
        <v>1.2473063490546701</v>
      </c>
      <c r="G13" s="16" t="s">
        <v>121</v>
      </c>
      <c r="H13" s="16" t="s">
        <v>126</v>
      </c>
    </row>
    <row r="14" spans="1:9" x14ac:dyDescent="0.25">
      <c r="A14" s="31" t="s">
        <v>52</v>
      </c>
      <c r="B14" s="31"/>
      <c r="C14" s="31"/>
      <c r="D14" s="16" t="s">
        <v>123</v>
      </c>
      <c r="E14" s="52">
        <v>134.35081685296876</v>
      </c>
      <c r="F14" s="52">
        <v>126.28976784178499</v>
      </c>
      <c r="G14" s="16" t="s">
        <v>121</v>
      </c>
      <c r="H14" s="16" t="s">
        <v>124</v>
      </c>
    </row>
    <row r="15" spans="1:9" x14ac:dyDescent="0.25">
      <c r="A15" s="28" t="s">
        <v>54</v>
      </c>
      <c r="B15" s="28"/>
      <c r="C15" s="35"/>
      <c r="D15" s="16" t="s">
        <v>123</v>
      </c>
      <c r="E15" s="16">
        <v>15</v>
      </c>
      <c r="F15" s="16">
        <v>15</v>
      </c>
      <c r="G15" s="24" t="s">
        <v>171</v>
      </c>
      <c r="H15" s="16" t="s">
        <v>124</v>
      </c>
      <c r="I15" s="16" t="s">
        <v>176</v>
      </c>
    </row>
    <row r="16" spans="1:9" x14ac:dyDescent="0.25">
      <c r="A16" s="16" t="s">
        <v>56</v>
      </c>
      <c r="B16" s="34"/>
      <c r="C16" s="35"/>
      <c r="G16" s="24"/>
    </row>
    <row r="18" spans="1:8" ht="15" x14ac:dyDescent="0.25">
      <c r="A18" s="37" t="s">
        <v>99</v>
      </c>
      <c r="B18" s="38"/>
      <c r="C18" s="38"/>
      <c r="D18" s="39"/>
      <c r="E18" s="39"/>
      <c r="F18" s="39"/>
      <c r="G18" s="39"/>
      <c r="H18" s="39"/>
    </row>
    <row r="19" spans="1:8" ht="15" x14ac:dyDescent="0.25">
      <c r="A19" s="37"/>
      <c r="B19" s="38"/>
      <c r="C19" s="38"/>
      <c r="D19" s="39"/>
      <c r="E19" s="39"/>
      <c r="F19" s="39"/>
      <c r="G19" s="39"/>
      <c r="H19" s="39"/>
    </row>
    <row r="20" spans="1:8" x14ac:dyDescent="0.25">
      <c r="A20" s="28" t="s">
        <v>7</v>
      </c>
      <c r="B20" s="28"/>
      <c r="C20" s="40"/>
      <c r="D20" s="16" t="s">
        <v>101</v>
      </c>
      <c r="E20" s="24">
        <v>350</v>
      </c>
      <c r="F20" s="24">
        <v>350</v>
      </c>
      <c r="G20" s="16" t="s">
        <v>129</v>
      </c>
      <c r="H20" s="42" t="s">
        <v>124</v>
      </c>
    </row>
    <row r="21" spans="1:8" ht="15" customHeight="1" x14ac:dyDescent="0.25">
      <c r="A21" s="57" t="s">
        <v>8</v>
      </c>
      <c r="B21" s="44"/>
      <c r="C21" s="44"/>
      <c r="D21" s="16" t="s">
        <v>101</v>
      </c>
      <c r="E21" s="42">
        <v>10</v>
      </c>
      <c r="F21" s="42">
        <v>10</v>
      </c>
      <c r="G21" s="42" t="s">
        <v>130</v>
      </c>
      <c r="H21" s="42" t="s">
        <v>126</v>
      </c>
    </row>
    <row r="22" spans="1:8" ht="30" customHeight="1" x14ac:dyDescent="0.25">
      <c r="A22" s="28" t="s">
        <v>9</v>
      </c>
      <c r="B22" s="28"/>
      <c r="C22" s="40"/>
      <c r="D22" s="16" t="s">
        <v>26</v>
      </c>
      <c r="E22" s="51">
        <v>5</v>
      </c>
      <c r="F22" s="51">
        <v>5</v>
      </c>
      <c r="G22" s="42" t="s">
        <v>129</v>
      </c>
      <c r="H22" s="42" t="s">
        <v>124</v>
      </c>
    </row>
    <row r="23" spans="1:8" x14ac:dyDescent="0.25">
      <c r="A23" s="45" t="s">
        <v>10</v>
      </c>
      <c r="B23" s="45"/>
      <c r="C23" s="46"/>
      <c r="D23" s="16" t="s">
        <v>101</v>
      </c>
      <c r="E23" s="47">
        <v>30</v>
      </c>
      <c r="F23" s="47">
        <v>30</v>
      </c>
      <c r="G23" s="47" t="s">
        <v>132</v>
      </c>
      <c r="H23" s="47" t="s">
        <v>126</v>
      </c>
    </row>
    <row r="24" spans="1:8" x14ac:dyDescent="0.25">
      <c r="A24" s="28" t="s">
        <v>103</v>
      </c>
      <c r="B24" s="28"/>
      <c r="C24" s="40"/>
      <c r="D24" s="42" t="s">
        <v>26</v>
      </c>
      <c r="E24" s="42">
        <v>0.3</v>
      </c>
      <c r="F24" s="42">
        <v>0.3</v>
      </c>
      <c r="G24" s="42" t="s">
        <v>134</v>
      </c>
      <c r="H24" s="42" t="s">
        <v>135</v>
      </c>
    </row>
    <row r="25" spans="1:8" x14ac:dyDescent="0.25">
      <c r="A25" s="45" t="s">
        <v>104</v>
      </c>
      <c r="B25" s="45"/>
      <c r="C25" s="46"/>
      <c r="D25" s="42" t="s">
        <v>26</v>
      </c>
      <c r="E25" s="42">
        <v>0.5</v>
      </c>
      <c r="F25" s="42">
        <v>0.5</v>
      </c>
      <c r="G25" s="42" t="s">
        <v>134</v>
      </c>
      <c r="H25" s="42" t="s">
        <v>135</v>
      </c>
    </row>
    <row r="26" spans="1:8" x14ac:dyDescent="0.25">
      <c r="A26" s="28" t="s">
        <v>14</v>
      </c>
      <c r="B26" s="28"/>
      <c r="C26" s="40"/>
      <c r="D26" s="42" t="s">
        <v>26</v>
      </c>
      <c r="E26" s="42">
        <v>0.4</v>
      </c>
      <c r="F26" s="42">
        <v>0.4</v>
      </c>
      <c r="G26" s="42" t="s">
        <v>136</v>
      </c>
      <c r="H26" s="42" t="s">
        <v>135</v>
      </c>
    </row>
    <row r="27" spans="1:8" x14ac:dyDescent="0.25">
      <c r="A27" s="45" t="s">
        <v>15</v>
      </c>
      <c r="B27" s="45"/>
      <c r="C27" s="46"/>
      <c r="D27" s="42" t="s">
        <v>101</v>
      </c>
      <c r="E27" s="42">
        <v>0.7</v>
      </c>
      <c r="F27" s="42">
        <v>0.7</v>
      </c>
      <c r="G27" s="42" t="s">
        <v>136</v>
      </c>
      <c r="H27" s="42" t="s">
        <v>135</v>
      </c>
    </row>
    <row r="28" spans="1:8" x14ac:dyDescent="0.25">
      <c r="A28" s="28" t="s">
        <v>105</v>
      </c>
      <c r="B28" s="28"/>
      <c r="C28" s="40"/>
      <c r="D28" s="42" t="s">
        <v>26</v>
      </c>
      <c r="E28" s="42">
        <v>4</v>
      </c>
      <c r="F28" s="42">
        <v>4</v>
      </c>
      <c r="G28" s="42" t="s">
        <v>134</v>
      </c>
      <c r="H28" s="42" t="s">
        <v>135</v>
      </c>
    </row>
    <row r="29" spans="1:8" x14ac:dyDescent="0.25">
      <c r="A29" s="45" t="s">
        <v>107</v>
      </c>
      <c r="B29" s="45"/>
      <c r="C29" s="46"/>
      <c r="D29" s="42" t="s">
        <v>101</v>
      </c>
      <c r="E29" s="42">
        <v>85</v>
      </c>
      <c r="F29" s="42">
        <v>85</v>
      </c>
      <c r="G29" s="42" t="s">
        <v>136</v>
      </c>
      <c r="H29" s="42" t="s">
        <v>135</v>
      </c>
    </row>
    <row r="30" spans="1:8" x14ac:dyDescent="0.25">
      <c r="A30" s="28" t="s">
        <v>108</v>
      </c>
      <c r="B30" s="28"/>
      <c r="C30" s="40"/>
      <c r="D30" s="42" t="s">
        <v>26</v>
      </c>
      <c r="E30" s="42">
        <v>2</v>
      </c>
      <c r="F30" s="42">
        <v>2</v>
      </c>
      <c r="G30" s="42" t="s">
        <v>134</v>
      </c>
      <c r="H30" s="42" t="s">
        <v>126</v>
      </c>
    </row>
    <row r="31" spans="1:8" x14ac:dyDescent="0.25">
      <c r="A31" s="45" t="s">
        <v>109</v>
      </c>
      <c r="B31" s="45"/>
      <c r="C31" s="46"/>
      <c r="D31" s="42" t="s">
        <v>101</v>
      </c>
      <c r="E31" s="42">
        <v>20</v>
      </c>
      <c r="F31" s="42">
        <v>20</v>
      </c>
      <c r="G31" s="42" t="s">
        <v>138</v>
      </c>
      <c r="H31" s="42" t="s">
        <v>126</v>
      </c>
    </row>
    <row r="32" spans="1:8" x14ac:dyDescent="0.25">
      <c r="A32" s="28" t="s">
        <v>23</v>
      </c>
      <c r="B32" s="28"/>
      <c r="C32" s="40"/>
      <c r="D32" s="42" t="s">
        <v>26</v>
      </c>
      <c r="E32" s="51">
        <v>30</v>
      </c>
      <c r="F32" s="51">
        <v>30</v>
      </c>
      <c r="G32" s="42" t="s">
        <v>129</v>
      </c>
      <c r="H32" s="42" t="s">
        <v>124</v>
      </c>
    </row>
    <row r="33" spans="1:8" x14ac:dyDescent="0.25">
      <c r="D33" s="42"/>
      <c r="E33" s="42"/>
      <c r="F33" s="42"/>
      <c r="G33" s="42"/>
      <c r="H33" s="42"/>
    </row>
    <row r="34" spans="1:8" ht="15" x14ac:dyDescent="0.25">
      <c r="A34" s="295" t="s">
        <v>112</v>
      </c>
      <c r="B34" s="295"/>
      <c r="C34" s="48"/>
      <c r="D34" s="42"/>
      <c r="E34" s="42"/>
      <c r="F34" s="42"/>
      <c r="G34" s="42"/>
      <c r="H34" s="42"/>
    </row>
    <row r="35" spans="1:8" x14ac:dyDescent="0.25">
      <c r="A35" s="28" t="s">
        <v>32</v>
      </c>
      <c r="B35" s="28"/>
      <c r="C35" s="40"/>
      <c r="D35" s="42" t="s">
        <v>26</v>
      </c>
      <c r="E35" s="42">
        <v>500</v>
      </c>
      <c r="F35" s="42">
        <v>500</v>
      </c>
      <c r="G35" s="42" t="s">
        <v>134</v>
      </c>
      <c r="H35" s="42" t="s">
        <v>126</v>
      </c>
    </row>
    <row r="36" spans="1:8" x14ac:dyDescent="0.25">
      <c r="A36" s="49" t="s">
        <v>34</v>
      </c>
      <c r="B36" s="49"/>
      <c r="C36" s="50"/>
      <c r="D36" s="42" t="s">
        <v>26</v>
      </c>
      <c r="E36" s="51">
        <v>470</v>
      </c>
      <c r="F36" s="51">
        <v>470</v>
      </c>
      <c r="G36" s="42" t="s">
        <v>129</v>
      </c>
      <c r="H36" s="42" t="s">
        <v>124</v>
      </c>
    </row>
    <row r="37" spans="1:8" x14ac:dyDescent="0.25">
      <c r="A37" s="28" t="s">
        <v>36</v>
      </c>
      <c r="B37" s="28"/>
      <c r="C37" s="40"/>
      <c r="D37" s="42" t="s">
        <v>26</v>
      </c>
      <c r="E37" s="42">
        <v>120</v>
      </c>
      <c r="F37" s="42">
        <v>120</v>
      </c>
      <c r="G37" s="42" t="s">
        <v>129</v>
      </c>
      <c r="H37" s="42" t="s">
        <v>124</v>
      </c>
    </row>
    <row r="38" spans="1:8" x14ac:dyDescent="0.25">
      <c r="A38" s="49" t="s">
        <v>38</v>
      </c>
      <c r="B38" s="49"/>
      <c r="C38" s="50"/>
      <c r="D38" s="42" t="s">
        <v>26</v>
      </c>
      <c r="E38" s="42">
        <v>8</v>
      </c>
      <c r="F38" s="42">
        <v>8</v>
      </c>
      <c r="G38" s="42" t="s">
        <v>129</v>
      </c>
      <c r="H38" s="42" t="s">
        <v>124</v>
      </c>
    </row>
    <row r="39" spans="1:8" x14ac:dyDescent="0.25">
      <c r="A39" s="28" t="s">
        <v>40</v>
      </c>
      <c r="B39" s="28"/>
      <c r="C39" s="40"/>
      <c r="D39" s="42" t="s">
        <v>26</v>
      </c>
      <c r="E39" s="42">
        <v>6</v>
      </c>
      <c r="F39" s="42">
        <v>6</v>
      </c>
      <c r="G39" s="42" t="s">
        <v>129</v>
      </c>
      <c r="H39" s="42" t="s">
        <v>124</v>
      </c>
    </row>
    <row r="40" spans="1:8" x14ac:dyDescent="0.25">
      <c r="A40" s="49" t="s">
        <v>42</v>
      </c>
      <c r="B40" s="49"/>
      <c r="C40" s="50"/>
      <c r="D40" s="42" t="s">
        <v>26</v>
      </c>
      <c r="E40" s="42">
        <v>0.5</v>
      </c>
      <c r="F40" s="42">
        <v>0.5</v>
      </c>
      <c r="G40" s="42" t="s">
        <v>139</v>
      </c>
      <c r="H40" s="42" t="s">
        <v>126</v>
      </c>
    </row>
    <row r="41" spans="1:8" x14ac:dyDescent="0.25">
      <c r="A41" s="28" t="s">
        <v>45</v>
      </c>
      <c r="B41" s="28"/>
      <c r="C41" s="40"/>
      <c r="D41" s="42" t="s">
        <v>26</v>
      </c>
      <c r="E41" s="42">
        <v>0.4</v>
      </c>
      <c r="F41" s="42">
        <v>0.4</v>
      </c>
      <c r="G41" s="42" t="s">
        <v>129</v>
      </c>
      <c r="H41" s="42" t="s">
        <v>124</v>
      </c>
    </row>
    <row r="42" spans="1:8" x14ac:dyDescent="0.25">
      <c r="A42" s="49" t="s">
        <v>47</v>
      </c>
      <c r="B42" s="49"/>
      <c r="C42" s="50"/>
      <c r="D42" s="42" t="s">
        <v>101</v>
      </c>
      <c r="E42" s="42">
        <v>90</v>
      </c>
      <c r="F42" s="42">
        <v>90</v>
      </c>
      <c r="G42" s="42" t="s">
        <v>129</v>
      </c>
      <c r="H42" s="42" t="s">
        <v>124</v>
      </c>
    </row>
    <row r="43" spans="1:8" x14ac:dyDescent="0.25">
      <c r="A43" s="28" t="s">
        <v>49</v>
      </c>
      <c r="B43" s="28"/>
      <c r="C43" s="40"/>
      <c r="D43" s="42" t="s">
        <v>101</v>
      </c>
      <c r="E43" s="42">
        <v>15</v>
      </c>
      <c r="F43" s="42">
        <v>15</v>
      </c>
      <c r="G43" s="42" t="s">
        <v>139</v>
      </c>
      <c r="H43" s="42" t="s">
        <v>126</v>
      </c>
    </row>
    <row r="44" spans="1:8" x14ac:dyDescent="0.25">
      <c r="A44" s="49" t="s">
        <v>51</v>
      </c>
      <c r="B44" s="49"/>
      <c r="C44" s="50"/>
      <c r="D44" s="42" t="s">
        <v>101</v>
      </c>
      <c r="E44" s="42">
        <v>11</v>
      </c>
      <c r="F44" s="42">
        <v>11</v>
      </c>
      <c r="G44" s="42" t="s">
        <v>140</v>
      </c>
      <c r="H44" s="42" t="s">
        <v>126</v>
      </c>
    </row>
    <row r="45" spans="1:8" x14ac:dyDescent="0.25">
      <c r="A45" s="28" t="s">
        <v>53</v>
      </c>
      <c r="B45" s="28"/>
      <c r="C45" s="40"/>
      <c r="D45" s="42" t="s">
        <v>101</v>
      </c>
      <c r="E45" s="42">
        <v>25</v>
      </c>
      <c r="F45" s="42">
        <v>25</v>
      </c>
      <c r="G45" s="42" t="s">
        <v>129</v>
      </c>
      <c r="H45" s="42" t="s">
        <v>124</v>
      </c>
    </row>
    <row r="46" spans="1:8" x14ac:dyDescent="0.25">
      <c r="A46" s="49" t="s">
        <v>55</v>
      </c>
      <c r="B46" s="49"/>
      <c r="C46" s="50"/>
      <c r="D46" s="42" t="s">
        <v>26</v>
      </c>
      <c r="E46" s="42">
        <v>1000</v>
      </c>
      <c r="F46" s="42">
        <v>1000</v>
      </c>
      <c r="G46" s="42" t="s">
        <v>142</v>
      </c>
      <c r="H46" s="42" t="s">
        <v>143</v>
      </c>
    </row>
    <row r="47" spans="1:8" ht="27" customHeight="1" x14ac:dyDescent="0.25">
      <c r="A47" s="28" t="s">
        <v>57</v>
      </c>
      <c r="B47" s="28"/>
      <c r="C47" s="40"/>
      <c r="D47" s="42" t="s">
        <v>26</v>
      </c>
      <c r="E47" s="51">
        <v>1800</v>
      </c>
      <c r="F47" s="51">
        <v>1800</v>
      </c>
      <c r="G47" s="42" t="s">
        <v>129</v>
      </c>
      <c r="H47" s="51" t="s">
        <v>124</v>
      </c>
    </row>
    <row r="48" spans="1:8" x14ac:dyDescent="0.25">
      <c r="A48" s="49" t="s">
        <v>60</v>
      </c>
      <c r="B48" s="49"/>
      <c r="C48" s="50"/>
      <c r="D48" s="42" t="s">
        <v>26</v>
      </c>
      <c r="E48" s="42">
        <v>1500</v>
      </c>
      <c r="F48" s="42">
        <v>1500</v>
      </c>
      <c r="G48" s="42" t="s">
        <v>144</v>
      </c>
      <c r="H48" s="42" t="s">
        <v>126</v>
      </c>
    </row>
    <row r="49" spans="5:7" ht="234.6" x14ac:dyDescent="0.25">
      <c r="E49" s="24" t="s">
        <v>153</v>
      </c>
      <c r="F49" s="24"/>
      <c r="G49" s="24"/>
    </row>
    <row r="50" spans="5:7" x14ac:dyDescent="0.25">
      <c r="E50" s="16" t="s">
        <v>146</v>
      </c>
    </row>
    <row r="52" spans="5:7" x14ac:dyDescent="0.25">
      <c r="E52" s="16" t="s">
        <v>177</v>
      </c>
    </row>
  </sheetData>
  <mergeCells count="2">
    <mergeCell ref="A34:B34"/>
    <mergeCell ref="A4:B4"/>
  </mergeCells>
  <pageMargins left="0.7" right="0.7" top="0.75" bottom="0.75" header="0.3" footer="0.3"/>
  <extLst>
    <ext xmlns:mx="http://schemas.microsoft.com/office/mac/excel/2008/main" uri="{64002731-A6B0-56B0-2670-7721B7C09600}">
      <mx:PLV Mode="0" OnePage="0" WScale="0"/>
    </ext>
  </extLst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800-000000000000}">
  <sheetPr codeName="Sheet8"/>
  <dimension ref="A1:I53"/>
  <sheetViews>
    <sheetView workbookViewId="0">
      <selection activeCell="H46" sqref="H46"/>
    </sheetView>
  </sheetViews>
  <sheetFormatPr defaultColWidth="8.88671875" defaultRowHeight="13.8" x14ac:dyDescent="0.25"/>
  <cols>
    <col min="1" max="1" width="15" style="16" customWidth="1"/>
    <col min="2" max="2" width="8.6640625" style="16" customWidth="1"/>
    <col min="3" max="3" width="23" style="16" customWidth="1"/>
    <col min="4" max="4" width="8.88671875" style="16"/>
    <col min="5" max="7" width="22.109375" style="16" customWidth="1"/>
    <col min="8" max="16384" width="8.88671875" style="16"/>
  </cols>
  <sheetData>
    <row r="1" spans="1:9" ht="15" x14ac:dyDescent="0.25">
      <c r="E1" s="23" t="s">
        <v>173</v>
      </c>
      <c r="F1" s="23" t="s">
        <v>174</v>
      </c>
      <c r="G1" s="23" t="s">
        <v>116</v>
      </c>
      <c r="H1" s="23" t="s">
        <v>117</v>
      </c>
    </row>
    <row r="4" spans="1:9" ht="15" x14ac:dyDescent="0.25">
      <c r="A4" s="296" t="s">
        <v>175</v>
      </c>
      <c r="B4" s="296"/>
      <c r="C4" s="25"/>
      <c r="D4" s="26" t="s">
        <v>119</v>
      </c>
      <c r="E4" s="26"/>
      <c r="F4" s="26"/>
      <c r="G4" s="26"/>
      <c r="H4" s="26"/>
    </row>
    <row r="5" spans="1:9" ht="34.5" customHeight="1" x14ac:dyDescent="0.25">
      <c r="A5" s="28" t="s">
        <v>35</v>
      </c>
      <c r="B5" s="28"/>
      <c r="C5" s="28"/>
      <c r="D5" s="16" t="s">
        <v>170</v>
      </c>
      <c r="E5" s="58">
        <v>1719.6904557180001</v>
      </c>
      <c r="F5" s="59">
        <v>1719.6904155249799</v>
      </c>
      <c r="G5" s="16" t="s">
        <v>121</v>
      </c>
      <c r="H5" s="16" t="s">
        <v>122</v>
      </c>
    </row>
    <row r="6" spans="1:9" x14ac:dyDescent="0.25">
      <c r="A6" s="31" t="s">
        <v>96</v>
      </c>
      <c r="B6" s="31"/>
      <c r="C6" s="31"/>
      <c r="D6" s="16" t="s">
        <v>123</v>
      </c>
      <c r="E6" s="24">
        <v>22</v>
      </c>
      <c r="F6" s="24">
        <v>21</v>
      </c>
      <c r="G6" s="16" t="s">
        <v>121</v>
      </c>
      <c r="H6" s="24" t="s">
        <v>124</v>
      </c>
    </row>
    <row r="7" spans="1:9" ht="30.75" customHeight="1" x14ac:dyDescent="0.25">
      <c r="A7" s="28" t="s">
        <v>39</v>
      </c>
      <c r="B7" s="28"/>
      <c r="C7" s="53"/>
      <c r="D7" s="16" t="s">
        <v>123</v>
      </c>
      <c r="E7" s="55">
        <v>76.430000000000007</v>
      </c>
      <c r="F7" s="55">
        <v>68.989999999999995</v>
      </c>
      <c r="G7" s="16" t="s">
        <v>121</v>
      </c>
      <c r="H7" s="16" t="s">
        <v>126</v>
      </c>
    </row>
    <row r="8" spans="1:9" ht="17.25" customHeight="1" x14ac:dyDescent="0.25">
      <c r="A8" s="31" t="s">
        <v>98</v>
      </c>
      <c r="B8" s="31"/>
      <c r="C8" s="53"/>
      <c r="E8" s="55"/>
      <c r="F8" s="55"/>
    </row>
    <row r="9" spans="1:9" ht="17.25" customHeight="1" x14ac:dyDescent="0.25">
      <c r="A9" s="28" t="s">
        <v>41</v>
      </c>
      <c r="B9" s="28"/>
      <c r="C9" s="53"/>
      <c r="E9" s="55"/>
      <c r="F9" s="55"/>
    </row>
    <row r="10" spans="1:9" ht="17.25" customHeight="1" x14ac:dyDescent="0.25">
      <c r="A10" s="31" t="s">
        <v>48</v>
      </c>
      <c r="B10" s="31"/>
      <c r="C10" s="53"/>
      <c r="E10" s="55"/>
      <c r="F10" s="55"/>
    </row>
    <row r="11" spans="1:9" ht="17.25" customHeight="1" x14ac:dyDescent="0.25">
      <c r="A11" s="28" t="s">
        <v>50</v>
      </c>
      <c r="B11" s="28"/>
      <c r="C11" s="53"/>
      <c r="E11" s="55"/>
      <c r="F11" s="55"/>
    </row>
    <row r="12" spans="1:9" x14ac:dyDescent="0.25">
      <c r="A12" s="31" t="s">
        <v>44</v>
      </c>
      <c r="B12" s="31"/>
      <c r="C12" s="31"/>
      <c r="D12" s="16" t="s">
        <v>123</v>
      </c>
      <c r="E12" s="60">
        <f>(E5*0.02)/9</f>
        <v>3.8215343460400004</v>
      </c>
      <c r="F12" s="60">
        <f>(F5*0.02)/9</f>
        <v>3.8215342567221779</v>
      </c>
      <c r="G12" s="16" t="s">
        <v>121</v>
      </c>
      <c r="H12" s="16" t="s">
        <v>126</v>
      </c>
    </row>
    <row r="13" spans="1:9" x14ac:dyDescent="0.25">
      <c r="A13" s="28" t="s">
        <v>46</v>
      </c>
      <c r="B13" s="28"/>
      <c r="C13" s="28"/>
      <c r="D13" s="16" t="s">
        <v>123</v>
      </c>
      <c r="E13" s="61">
        <f>(E5*0.01)/9</f>
        <v>1.9107671730200002</v>
      </c>
      <c r="F13" s="61">
        <f>(F5*0.01)/9</f>
        <v>1.910767128361089</v>
      </c>
      <c r="G13" s="16" t="s">
        <v>121</v>
      </c>
      <c r="H13" s="16" t="s">
        <v>126</v>
      </c>
    </row>
    <row r="14" spans="1:9" x14ac:dyDescent="0.25">
      <c r="A14" s="31" t="s">
        <v>52</v>
      </c>
      <c r="B14" s="31"/>
      <c r="C14" s="31"/>
      <c r="D14" s="16" t="s">
        <v>123</v>
      </c>
      <c r="E14" s="52">
        <f>(E5*0.45)/4</f>
        <v>193.465176268275</v>
      </c>
      <c r="F14" s="52">
        <f>(F5*0.45)/4</f>
        <v>193.46517174656026</v>
      </c>
      <c r="G14" s="16" t="s">
        <v>121</v>
      </c>
      <c r="H14" s="16" t="s">
        <v>124</v>
      </c>
    </row>
    <row r="15" spans="1:9" x14ac:dyDescent="0.25">
      <c r="A15" s="28" t="s">
        <v>54</v>
      </c>
      <c r="B15" s="28"/>
      <c r="C15" s="35"/>
      <c r="D15" s="16" t="s">
        <v>123</v>
      </c>
      <c r="E15" s="24">
        <v>25</v>
      </c>
      <c r="F15" s="24">
        <v>20</v>
      </c>
      <c r="G15" s="24" t="s">
        <v>171</v>
      </c>
      <c r="H15" s="16" t="s">
        <v>124</v>
      </c>
      <c r="I15" s="24" t="s">
        <v>176</v>
      </c>
    </row>
    <row r="16" spans="1:9" x14ac:dyDescent="0.25">
      <c r="A16" s="34" t="s">
        <v>56</v>
      </c>
      <c r="B16" s="34"/>
      <c r="C16" s="35"/>
      <c r="E16" s="24"/>
      <c r="F16" s="24"/>
      <c r="G16" s="24"/>
      <c r="I16" s="24"/>
    </row>
    <row r="18" spans="1:8" ht="15" x14ac:dyDescent="0.25">
      <c r="A18" s="37" t="s">
        <v>99</v>
      </c>
      <c r="B18" s="38"/>
      <c r="C18" s="38"/>
      <c r="D18" s="39"/>
      <c r="E18" s="39"/>
      <c r="F18" s="39"/>
      <c r="G18" s="39"/>
      <c r="H18" s="39"/>
    </row>
    <row r="19" spans="1:8" ht="15" x14ac:dyDescent="0.25">
      <c r="A19" s="37"/>
      <c r="B19" s="38"/>
      <c r="C19" s="38"/>
      <c r="D19" s="39"/>
      <c r="E19" s="39"/>
      <c r="F19" s="39"/>
      <c r="G19" s="39"/>
      <c r="H19" s="39"/>
    </row>
    <row r="20" spans="1:8" x14ac:dyDescent="0.25">
      <c r="A20" s="28" t="s">
        <v>7</v>
      </c>
      <c r="B20" s="28"/>
      <c r="C20" s="40"/>
      <c r="D20" s="16" t="s">
        <v>101</v>
      </c>
      <c r="E20" s="62">
        <v>400</v>
      </c>
      <c r="F20" s="62">
        <v>400</v>
      </c>
      <c r="G20" s="16" t="s">
        <v>129</v>
      </c>
      <c r="H20" s="42" t="s">
        <v>124</v>
      </c>
    </row>
    <row r="21" spans="1:8" ht="15" customHeight="1" x14ac:dyDescent="0.25">
      <c r="A21" s="57" t="s">
        <v>8</v>
      </c>
      <c r="B21" s="44"/>
      <c r="C21" s="44"/>
      <c r="D21" s="16" t="s">
        <v>101</v>
      </c>
      <c r="E21" s="62">
        <v>10</v>
      </c>
      <c r="F21" s="62">
        <v>10</v>
      </c>
      <c r="G21" s="42" t="s">
        <v>130</v>
      </c>
      <c r="H21" s="42" t="s">
        <v>126</v>
      </c>
    </row>
    <row r="22" spans="1:8" ht="30" customHeight="1" x14ac:dyDescent="0.25">
      <c r="A22" s="28" t="s">
        <v>9</v>
      </c>
      <c r="B22" s="28"/>
      <c r="C22" s="40"/>
      <c r="D22" s="16" t="s">
        <v>26</v>
      </c>
      <c r="E22" s="62">
        <v>6</v>
      </c>
      <c r="F22" s="62">
        <v>6</v>
      </c>
      <c r="G22" s="42" t="s">
        <v>129</v>
      </c>
      <c r="H22" s="42" t="s">
        <v>124</v>
      </c>
    </row>
    <row r="23" spans="1:8" x14ac:dyDescent="0.25">
      <c r="A23" s="45" t="s">
        <v>10</v>
      </c>
      <c r="B23" s="45"/>
      <c r="C23" s="46"/>
      <c r="D23" s="16" t="s">
        <v>101</v>
      </c>
      <c r="E23" s="63">
        <v>50</v>
      </c>
      <c r="F23" s="63">
        <v>50</v>
      </c>
      <c r="G23" s="47" t="s">
        <v>132</v>
      </c>
      <c r="H23" s="47" t="s">
        <v>126</v>
      </c>
    </row>
    <row r="24" spans="1:8" x14ac:dyDescent="0.25">
      <c r="A24" s="28" t="s">
        <v>103</v>
      </c>
      <c r="B24" s="28"/>
      <c r="C24" s="40"/>
      <c r="D24" s="42" t="s">
        <v>26</v>
      </c>
      <c r="E24" s="62">
        <v>0.5</v>
      </c>
      <c r="F24" s="62">
        <v>0.5</v>
      </c>
      <c r="G24" s="42" t="s">
        <v>134</v>
      </c>
      <c r="H24" s="42" t="s">
        <v>135</v>
      </c>
    </row>
    <row r="25" spans="1:8" x14ac:dyDescent="0.25">
      <c r="A25" s="45" t="s">
        <v>104</v>
      </c>
      <c r="B25" s="45"/>
      <c r="C25" s="46"/>
      <c r="D25" s="42" t="s">
        <v>26</v>
      </c>
      <c r="E25" s="62">
        <v>0.7</v>
      </c>
      <c r="F25" s="62">
        <v>0.7</v>
      </c>
      <c r="G25" s="42" t="s">
        <v>134</v>
      </c>
      <c r="H25" s="42" t="s">
        <v>135</v>
      </c>
    </row>
    <row r="26" spans="1:8" x14ac:dyDescent="0.25">
      <c r="A26" s="28" t="s">
        <v>14</v>
      </c>
      <c r="B26" s="28"/>
      <c r="C26" s="40"/>
      <c r="D26" s="42" t="s">
        <v>26</v>
      </c>
      <c r="E26" s="62">
        <v>0.7</v>
      </c>
      <c r="F26" s="62">
        <v>0.7</v>
      </c>
      <c r="G26" s="42" t="s">
        <v>136</v>
      </c>
      <c r="H26" s="42" t="s">
        <v>135</v>
      </c>
    </row>
    <row r="27" spans="1:8" x14ac:dyDescent="0.25">
      <c r="A27" s="45" t="s">
        <v>15</v>
      </c>
      <c r="B27" s="45"/>
      <c r="C27" s="46"/>
      <c r="D27" s="42" t="s">
        <v>101</v>
      </c>
      <c r="E27" s="62">
        <v>1.3</v>
      </c>
      <c r="F27" s="62">
        <v>1.3</v>
      </c>
      <c r="G27" s="42" t="s">
        <v>136</v>
      </c>
      <c r="H27" s="42" t="s">
        <v>135</v>
      </c>
    </row>
    <row r="28" spans="1:8" x14ac:dyDescent="0.25">
      <c r="A28" s="28" t="s">
        <v>105</v>
      </c>
      <c r="B28" s="28"/>
      <c r="C28" s="40"/>
      <c r="D28" s="42" t="s">
        <v>26</v>
      </c>
      <c r="E28" s="62">
        <v>7</v>
      </c>
      <c r="F28" s="62">
        <v>7</v>
      </c>
      <c r="G28" s="42" t="s">
        <v>134</v>
      </c>
      <c r="H28" s="42" t="s">
        <v>135</v>
      </c>
    </row>
    <row r="29" spans="1:8" x14ac:dyDescent="0.25">
      <c r="A29" s="45" t="s">
        <v>107</v>
      </c>
      <c r="B29" s="45"/>
      <c r="C29" s="46"/>
      <c r="D29" s="42" t="s">
        <v>101</v>
      </c>
      <c r="E29" s="62">
        <v>150</v>
      </c>
      <c r="F29" s="62">
        <v>150</v>
      </c>
      <c r="G29" s="42" t="s">
        <v>136</v>
      </c>
      <c r="H29" s="42" t="s">
        <v>135</v>
      </c>
    </row>
    <row r="30" spans="1:8" x14ac:dyDescent="0.25">
      <c r="A30" s="28" t="s">
        <v>108</v>
      </c>
      <c r="B30" s="28"/>
      <c r="C30" s="40"/>
      <c r="D30" s="42" t="s">
        <v>26</v>
      </c>
      <c r="E30" s="62">
        <v>3</v>
      </c>
      <c r="F30" s="62">
        <v>3</v>
      </c>
      <c r="G30" s="42" t="s">
        <v>134</v>
      </c>
      <c r="H30" s="42" t="s">
        <v>126</v>
      </c>
    </row>
    <row r="31" spans="1:8" x14ac:dyDescent="0.25">
      <c r="A31" s="45" t="s">
        <v>109</v>
      </c>
      <c r="B31" s="45"/>
      <c r="C31" s="46"/>
      <c r="D31" s="42" t="s">
        <v>101</v>
      </c>
      <c r="E31" s="62">
        <v>25</v>
      </c>
      <c r="F31" s="62">
        <v>25</v>
      </c>
      <c r="G31" s="42" t="s">
        <v>138</v>
      </c>
      <c r="H31" s="42" t="s">
        <v>126</v>
      </c>
    </row>
    <row r="32" spans="1:8" x14ac:dyDescent="0.25">
      <c r="A32" s="28" t="s">
        <v>23</v>
      </c>
      <c r="B32" s="28"/>
      <c r="C32" s="40"/>
      <c r="D32" s="42" t="s">
        <v>26</v>
      </c>
      <c r="E32" s="62">
        <v>40</v>
      </c>
      <c r="F32" s="62">
        <v>40</v>
      </c>
      <c r="G32" s="42" t="s">
        <v>129</v>
      </c>
      <c r="H32" s="42" t="s">
        <v>124</v>
      </c>
    </row>
    <row r="33" spans="1:8" x14ac:dyDescent="0.25">
      <c r="D33" s="42"/>
      <c r="E33" s="62"/>
      <c r="F33" s="62"/>
      <c r="G33" s="42"/>
      <c r="H33" s="42"/>
    </row>
    <row r="34" spans="1:8" ht="15" x14ac:dyDescent="0.25">
      <c r="A34" s="295" t="s">
        <v>112</v>
      </c>
      <c r="B34" s="295"/>
      <c r="C34" s="48"/>
      <c r="D34" s="42"/>
      <c r="E34" s="62"/>
      <c r="F34" s="62"/>
      <c r="G34" s="42"/>
      <c r="H34" s="42"/>
    </row>
    <row r="35" spans="1:8" x14ac:dyDescent="0.25">
      <c r="A35" s="28" t="s">
        <v>32</v>
      </c>
      <c r="B35" s="28"/>
      <c r="C35" s="40"/>
      <c r="D35" s="42" t="s">
        <v>26</v>
      </c>
      <c r="E35" s="62">
        <v>700</v>
      </c>
      <c r="F35" s="62">
        <v>700</v>
      </c>
      <c r="G35" s="42" t="s">
        <v>134</v>
      </c>
      <c r="H35" s="42" t="s">
        <v>126</v>
      </c>
    </row>
    <row r="36" spans="1:8" x14ac:dyDescent="0.25">
      <c r="A36" s="49" t="s">
        <v>34</v>
      </c>
      <c r="B36" s="49"/>
      <c r="C36" s="50"/>
      <c r="D36" s="42" t="s">
        <v>26</v>
      </c>
      <c r="E36" s="62">
        <v>540</v>
      </c>
      <c r="F36" s="62">
        <v>540</v>
      </c>
      <c r="G36" s="42" t="s">
        <v>129</v>
      </c>
      <c r="H36" s="42" t="s">
        <v>124</v>
      </c>
    </row>
    <row r="37" spans="1:8" x14ac:dyDescent="0.25">
      <c r="A37" s="28" t="s">
        <v>36</v>
      </c>
      <c r="B37" s="28"/>
      <c r="C37" s="40"/>
      <c r="D37" s="42" t="s">
        <v>26</v>
      </c>
      <c r="E37" s="62">
        <v>200</v>
      </c>
      <c r="F37" s="62">
        <v>200</v>
      </c>
      <c r="G37" s="42" t="s">
        <v>129</v>
      </c>
      <c r="H37" s="42" t="s">
        <v>124</v>
      </c>
    </row>
    <row r="38" spans="1:8" x14ac:dyDescent="0.25">
      <c r="A38" s="49" t="s">
        <v>38</v>
      </c>
      <c r="B38" s="49"/>
      <c r="C38" s="50"/>
      <c r="D38" s="42" t="s">
        <v>26</v>
      </c>
      <c r="E38" s="62">
        <v>9</v>
      </c>
      <c r="F38" s="62">
        <v>9</v>
      </c>
      <c r="G38" s="42" t="s">
        <v>129</v>
      </c>
      <c r="H38" s="42" t="s">
        <v>124</v>
      </c>
    </row>
    <row r="39" spans="1:8" x14ac:dyDescent="0.25">
      <c r="A39" s="28" t="s">
        <v>40</v>
      </c>
      <c r="B39" s="28"/>
      <c r="C39" s="40"/>
      <c r="D39" s="42" t="s">
        <v>26</v>
      </c>
      <c r="E39" s="62">
        <v>7</v>
      </c>
      <c r="F39" s="62">
        <v>7</v>
      </c>
      <c r="G39" s="42" t="s">
        <v>129</v>
      </c>
      <c r="H39" s="42" t="s">
        <v>124</v>
      </c>
    </row>
    <row r="40" spans="1:8" x14ac:dyDescent="0.25">
      <c r="A40" s="49" t="s">
        <v>42</v>
      </c>
      <c r="B40" s="49"/>
      <c r="C40" s="50"/>
      <c r="D40" s="42" t="s">
        <v>26</v>
      </c>
      <c r="E40" s="62">
        <v>1</v>
      </c>
      <c r="F40" s="62">
        <v>1</v>
      </c>
      <c r="G40" s="42" t="s">
        <v>139</v>
      </c>
      <c r="H40" s="42" t="s">
        <v>126</v>
      </c>
    </row>
    <row r="41" spans="1:8" x14ac:dyDescent="0.25">
      <c r="A41" s="28" t="s">
        <v>45</v>
      </c>
      <c r="B41" s="28"/>
      <c r="C41" s="40"/>
      <c r="D41" s="42" t="s">
        <v>26</v>
      </c>
      <c r="E41" s="62">
        <v>0.5</v>
      </c>
      <c r="F41" s="62">
        <v>0.5</v>
      </c>
      <c r="G41" s="42" t="s">
        <v>129</v>
      </c>
      <c r="H41" s="42" t="s">
        <v>124</v>
      </c>
    </row>
    <row r="42" spans="1:8" x14ac:dyDescent="0.25">
      <c r="A42" s="49" t="s">
        <v>47</v>
      </c>
      <c r="B42" s="49"/>
      <c r="C42" s="50"/>
      <c r="D42" s="42" t="s">
        <v>101</v>
      </c>
      <c r="E42" s="62">
        <v>120</v>
      </c>
      <c r="F42" s="62">
        <v>120</v>
      </c>
      <c r="G42" s="42" t="s">
        <v>129</v>
      </c>
      <c r="H42" s="42" t="s">
        <v>124</v>
      </c>
    </row>
    <row r="43" spans="1:8" x14ac:dyDescent="0.25">
      <c r="A43" s="28" t="s">
        <v>49</v>
      </c>
      <c r="B43" s="28"/>
      <c r="C43" s="40"/>
      <c r="D43" s="42" t="s">
        <v>101</v>
      </c>
      <c r="E43" s="62">
        <v>20</v>
      </c>
      <c r="F43" s="62">
        <v>20</v>
      </c>
      <c r="G43" s="42" t="s">
        <v>139</v>
      </c>
      <c r="H43" s="42" t="s">
        <v>126</v>
      </c>
    </row>
    <row r="44" spans="1:8" x14ac:dyDescent="0.25">
      <c r="A44" s="49" t="s">
        <v>51</v>
      </c>
      <c r="B44" s="49"/>
      <c r="C44" s="50"/>
      <c r="D44" s="42" t="s">
        <v>101</v>
      </c>
      <c r="E44" s="62">
        <v>15</v>
      </c>
      <c r="F44" s="62">
        <v>15</v>
      </c>
      <c r="G44" s="42" t="s">
        <v>140</v>
      </c>
      <c r="H44" s="42" t="s">
        <v>126</v>
      </c>
    </row>
    <row r="45" spans="1:8" x14ac:dyDescent="0.25">
      <c r="A45" s="28" t="s">
        <v>53</v>
      </c>
      <c r="B45" s="28"/>
      <c r="C45" s="40"/>
      <c r="D45" s="42" t="s">
        <v>101</v>
      </c>
      <c r="E45" s="62">
        <v>30</v>
      </c>
      <c r="F45" s="62">
        <v>30</v>
      </c>
      <c r="G45" s="42" t="s">
        <v>129</v>
      </c>
      <c r="H45" s="42" t="s">
        <v>124</v>
      </c>
    </row>
    <row r="46" spans="1:8" x14ac:dyDescent="0.25">
      <c r="A46" s="49" t="s">
        <v>55</v>
      </c>
      <c r="B46" s="49"/>
      <c r="C46" s="50"/>
      <c r="D46" s="42" t="s">
        <v>26</v>
      </c>
      <c r="E46" s="62">
        <v>1200</v>
      </c>
      <c r="F46" s="62">
        <v>1200</v>
      </c>
      <c r="G46" s="42" t="s">
        <v>142</v>
      </c>
      <c r="H46" s="42" t="s">
        <v>143</v>
      </c>
    </row>
    <row r="47" spans="1:8" ht="27" customHeight="1" x14ac:dyDescent="0.25">
      <c r="A47" s="28" t="s">
        <v>57</v>
      </c>
      <c r="B47" s="28"/>
      <c r="C47" s="40"/>
      <c r="D47" s="42" t="s">
        <v>26</v>
      </c>
      <c r="E47" s="62">
        <v>2000</v>
      </c>
      <c r="F47" s="62">
        <v>2000</v>
      </c>
      <c r="G47" s="42" t="s">
        <v>129</v>
      </c>
      <c r="H47" s="51" t="s">
        <v>124</v>
      </c>
    </row>
    <row r="48" spans="1:8" x14ac:dyDescent="0.25">
      <c r="A48" s="49" t="s">
        <v>60</v>
      </c>
      <c r="B48" s="49"/>
      <c r="C48" s="50"/>
      <c r="D48" s="42" t="s">
        <v>26</v>
      </c>
      <c r="E48" s="42">
        <v>1900</v>
      </c>
      <c r="F48" s="42">
        <v>1900</v>
      </c>
      <c r="G48" s="42" t="s">
        <v>144</v>
      </c>
      <c r="H48" s="42" t="s">
        <v>126</v>
      </c>
    </row>
    <row r="49" spans="5:7" x14ac:dyDescent="0.25">
      <c r="G49" s="42"/>
    </row>
    <row r="50" spans="5:7" x14ac:dyDescent="0.25">
      <c r="E50" s="24"/>
      <c r="F50" s="24"/>
      <c r="G50" s="24"/>
    </row>
    <row r="51" spans="5:7" ht="248.4" x14ac:dyDescent="0.25">
      <c r="F51" s="24" t="s">
        <v>153</v>
      </c>
    </row>
    <row r="52" spans="5:7" x14ac:dyDescent="0.25">
      <c r="F52" s="16" t="s">
        <v>146</v>
      </c>
    </row>
    <row r="53" spans="5:7" x14ac:dyDescent="0.25">
      <c r="F53" s="16" t="s">
        <v>177</v>
      </c>
    </row>
  </sheetData>
  <mergeCells count="2">
    <mergeCell ref="A34:B34"/>
    <mergeCell ref="A4:B4"/>
  </mergeCells>
  <pageMargins left="0.7" right="0.7" top="0.75" bottom="0.75" header="0.3" footer="0.3"/>
  <extLst>
    <ext xmlns:mx="http://schemas.microsoft.com/office/mac/excel/2008/main" uri="{64002731-A6B0-56B0-2670-7721B7C09600}">
      <mx:PLV Mode="0" OnePage="0" WScale="0"/>
    </ext>
  </extLst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900-000000000000}">
  <sheetPr codeName="Sheet9"/>
  <dimension ref="A1:I54"/>
  <sheetViews>
    <sheetView topLeftCell="A34" workbookViewId="0">
      <selection activeCell="A5" sqref="A5:E5"/>
    </sheetView>
  </sheetViews>
  <sheetFormatPr defaultColWidth="8.88671875" defaultRowHeight="13.8" x14ac:dyDescent="0.25"/>
  <cols>
    <col min="1" max="1" width="15" style="16" customWidth="1"/>
    <col min="2" max="2" width="8.6640625" style="16" customWidth="1"/>
    <col min="3" max="3" width="23" style="16" customWidth="1"/>
    <col min="4" max="4" width="8.88671875" style="16"/>
    <col min="5" max="7" width="21.6640625" style="16" customWidth="1"/>
    <col min="8" max="16384" width="8.88671875" style="16"/>
  </cols>
  <sheetData>
    <row r="1" spans="1:9" ht="15" x14ac:dyDescent="0.25">
      <c r="E1" s="23" t="s">
        <v>173</v>
      </c>
      <c r="F1" s="23" t="s">
        <v>174</v>
      </c>
      <c r="G1" s="23" t="s">
        <v>116</v>
      </c>
      <c r="H1" s="23" t="s">
        <v>117</v>
      </c>
    </row>
    <row r="4" spans="1:9" ht="15" x14ac:dyDescent="0.25">
      <c r="A4" s="296" t="s">
        <v>175</v>
      </c>
      <c r="B4" s="296"/>
      <c r="C4" s="25"/>
      <c r="D4" s="26" t="s">
        <v>119</v>
      </c>
      <c r="E4" s="26"/>
      <c r="F4" s="26"/>
      <c r="G4" s="26"/>
      <c r="H4" s="26"/>
    </row>
    <row r="5" spans="1:9" ht="34.5" customHeight="1" x14ac:dyDescent="0.25">
      <c r="A5" s="28" t="s">
        <v>35</v>
      </c>
      <c r="B5" s="28"/>
      <c r="C5" s="28"/>
      <c r="D5" s="16" t="s">
        <v>170</v>
      </c>
      <c r="E5" s="58">
        <v>2531.7665042515</v>
      </c>
      <c r="F5" s="58">
        <v>2269.0360179611998</v>
      </c>
      <c r="G5" s="16" t="s">
        <v>121</v>
      </c>
      <c r="H5" s="16" t="s">
        <v>122</v>
      </c>
    </row>
    <row r="6" spans="1:9" x14ac:dyDescent="0.25">
      <c r="A6" s="31" t="s">
        <v>96</v>
      </c>
      <c r="B6" s="31"/>
      <c r="C6" s="31"/>
      <c r="D6" s="16" t="s">
        <v>123</v>
      </c>
      <c r="E6" s="24">
        <v>36</v>
      </c>
      <c r="F6" s="24">
        <v>37</v>
      </c>
      <c r="G6" s="16" t="s">
        <v>121</v>
      </c>
      <c r="H6" s="24" t="s">
        <v>124</v>
      </c>
    </row>
    <row r="7" spans="1:9" x14ac:dyDescent="0.25">
      <c r="A7" s="28" t="s">
        <v>39</v>
      </c>
      <c r="B7" s="28"/>
      <c r="C7" s="53"/>
      <c r="D7" s="16" t="s">
        <v>123</v>
      </c>
      <c r="E7" s="55">
        <v>112.52</v>
      </c>
      <c r="F7" s="55">
        <v>100.85</v>
      </c>
      <c r="G7" s="16" t="s">
        <v>121</v>
      </c>
      <c r="H7" s="16" t="s">
        <v>126</v>
      </c>
    </row>
    <row r="8" spans="1:9" x14ac:dyDescent="0.25">
      <c r="A8" s="31" t="s">
        <v>98</v>
      </c>
      <c r="B8" s="31"/>
      <c r="C8" s="53"/>
      <c r="E8" s="55"/>
      <c r="F8" s="55"/>
    </row>
    <row r="9" spans="1:9" x14ac:dyDescent="0.25">
      <c r="A9" s="28" t="s">
        <v>41</v>
      </c>
      <c r="B9" s="28"/>
      <c r="C9" s="53"/>
      <c r="E9" s="55"/>
      <c r="F9" s="55"/>
    </row>
    <row r="10" spans="1:9" x14ac:dyDescent="0.25">
      <c r="A10" s="31" t="s">
        <v>48</v>
      </c>
      <c r="B10" s="31"/>
      <c r="C10" s="53"/>
      <c r="E10" s="55"/>
      <c r="F10" s="55"/>
    </row>
    <row r="11" spans="1:9" x14ac:dyDescent="0.25">
      <c r="A11" s="28" t="s">
        <v>50</v>
      </c>
      <c r="B11" s="28"/>
      <c r="C11" s="53"/>
      <c r="E11" s="55"/>
      <c r="F11" s="55"/>
    </row>
    <row r="12" spans="1:9" x14ac:dyDescent="0.25">
      <c r="A12" s="31" t="s">
        <v>44</v>
      </c>
      <c r="B12" s="31"/>
      <c r="C12" s="31"/>
      <c r="D12" s="16" t="s">
        <v>123</v>
      </c>
      <c r="E12" s="60">
        <f>(E5*0.02)/9</f>
        <v>5.6261477872255554</v>
      </c>
      <c r="F12" s="60">
        <f>(F5*0.02)/9</f>
        <v>5.0423022621360003</v>
      </c>
      <c r="G12" s="16" t="s">
        <v>121</v>
      </c>
      <c r="H12" s="16" t="s">
        <v>126</v>
      </c>
    </row>
    <row r="13" spans="1:9" x14ac:dyDescent="0.25">
      <c r="A13" s="28" t="s">
        <v>46</v>
      </c>
      <c r="B13" s="28"/>
      <c r="C13" s="28"/>
      <c r="D13" s="16" t="s">
        <v>123</v>
      </c>
      <c r="E13" s="61">
        <f>(E5*0.01)/9</f>
        <v>2.8130738936127777</v>
      </c>
      <c r="F13" s="61">
        <f>(F5*0.01)/9</f>
        <v>2.5211511310680002</v>
      </c>
      <c r="G13" s="16" t="s">
        <v>121</v>
      </c>
      <c r="H13" s="16" t="s">
        <v>126</v>
      </c>
    </row>
    <row r="14" spans="1:9" x14ac:dyDescent="0.25">
      <c r="A14" s="31" t="s">
        <v>52</v>
      </c>
      <c r="B14" s="31"/>
      <c r="C14" s="31"/>
      <c r="D14" s="16" t="s">
        <v>123</v>
      </c>
      <c r="E14" s="52">
        <f>(E5*0.45)/4</f>
        <v>284.82373172829375</v>
      </c>
      <c r="F14" s="52">
        <f>(F5*0.45)/4</f>
        <v>255.26655202063498</v>
      </c>
      <c r="G14" s="16" t="s">
        <v>121</v>
      </c>
      <c r="H14" s="16" t="s">
        <v>124</v>
      </c>
    </row>
    <row r="15" spans="1:9" x14ac:dyDescent="0.25">
      <c r="A15" s="28" t="s">
        <v>54</v>
      </c>
      <c r="B15" s="28"/>
      <c r="C15" s="35"/>
      <c r="D15" s="16" t="s">
        <v>123</v>
      </c>
      <c r="E15" s="24">
        <v>30</v>
      </c>
      <c r="F15" s="24">
        <v>25</v>
      </c>
      <c r="G15" s="24" t="s">
        <v>171</v>
      </c>
      <c r="H15" s="16" t="s">
        <v>124</v>
      </c>
      <c r="I15" s="24" t="s">
        <v>176</v>
      </c>
    </row>
    <row r="16" spans="1:9" x14ac:dyDescent="0.25">
      <c r="A16" s="34" t="s">
        <v>56</v>
      </c>
      <c r="B16" s="34"/>
      <c r="C16" s="35"/>
      <c r="E16" s="24"/>
      <c r="F16" s="24"/>
      <c r="G16" s="24"/>
      <c r="I16" s="24"/>
    </row>
    <row r="18" spans="1:8" ht="15" x14ac:dyDescent="0.25">
      <c r="A18" s="37" t="s">
        <v>99</v>
      </c>
      <c r="B18" s="38"/>
      <c r="C18" s="38"/>
      <c r="D18" s="39"/>
      <c r="E18" s="39"/>
      <c r="F18" s="39"/>
      <c r="G18" s="39"/>
      <c r="H18" s="39"/>
    </row>
    <row r="19" spans="1:8" ht="15" x14ac:dyDescent="0.25">
      <c r="A19" s="37"/>
      <c r="B19" s="38"/>
      <c r="C19" s="38"/>
      <c r="D19" s="39"/>
      <c r="E19" s="39"/>
      <c r="F19" s="39"/>
      <c r="G19" s="39"/>
      <c r="H19" s="39"/>
    </row>
    <row r="20" spans="1:8" x14ac:dyDescent="0.25">
      <c r="A20" s="28" t="s">
        <v>7</v>
      </c>
      <c r="B20" s="28"/>
      <c r="C20" s="40"/>
      <c r="D20" s="16" t="s">
        <v>101</v>
      </c>
      <c r="E20" s="16">
        <v>600</v>
      </c>
      <c r="F20" s="16">
        <v>600</v>
      </c>
      <c r="G20" s="16" t="s">
        <v>129</v>
      </c>
      <c r="H20" s="42" t="s">
        <v>124</v>
      </c>
    </row>
    <row r="21" spans="1:8" ht="15" customHeight="1" x14ac:dyDescent="0.25">
      <c r="A21" s="57" t="s">
        <v>8</v>
      </c>
      <c r="B21" s="44"/>
      <c r="C21" s="44"/>
      <c r="D21" s="16" t="s">
        <v>101</v>
      </c>
      <c r="E21" s="42">
        <v>10</v>
      </c>
      <c r="F21" s="42">
        <v>10</v>
      </c>
      <c r="G21" s="42" t="s">
        <v>130</v>
      </c>
      <c r="H21" s="42" t="s">
        <v>126</v>
      </c>
    </row>
    <row r="22" spans="1:8" ht="30" customHeight="1" x14ac:dyDescent="0.25">
      <c r="A22" s="28" t="s">
        <v>9</v>
      </c>
      <c r="B22" s="28"/>
      <c r="C22" s="40"/>
      <c r="D22" s="16" t="s">
        <v>26</v>
      </c>
      <c r="E22" s="51">
        <v>8</v>
      </c>
      <c r="F22" s="51">
        <v>7</v>
      </c>
      <c r="G22" s="42" t="s">
        <v>129</v>
      </c>
      <c r="H22" s="42" t="s">
        <v>124</v>
      </c>
    </row>
    <row r="23" spans="1:8" x14ac:dyDescent="0.25">
      <c r="A23" s="45" t="s">
        <v>10</v>
      </c>
      <c r="B23" s="45"/>
      <c r="C23" s="46"/>
      <c r="D23" s="16" t="s">
        <v>101</v>
      </c>
      <c r="E23" s="47">
        <v>60</v>
      </c>
      <c r="F23" s="47">
        <v>60</v>
      </c>
      <c r="G23" s="47" t="s">
        <v>132</v>
      </c>
      <c r="H23" s="47" t="s">
        <v>126</v>
      </c>
    </row>
    <row r="24" spans="1:8" x14ac:dyDescent="0.25">
      <c r="A24" s="28" t="s">
        <v>103</v>
      </c>
      <c r="B24" s="28"/>
      <c r="C24" s="40"/>
      <c r="D24" s="42" t="s">
        <v>26</v>
      </c>
      <c r="E24" s="42">
        <v>0.8</v>
      </c>
      <c r="F24" s="42">
        <v>0.8</v>
      </c>
      <c r="G24" s="42" t="s">
        <v>134</v>
      </c>
      <c r="H24" s="42" t="s">
        <v>135</v>
      </c>
    </row>
    <row r="25" spans="1:8" x14ac:dyDescent="0.25">
      <c r="A25" s="45" t="s">
        <v>104</v>
      </c>
      <c r="B25" s="45"/>
      <c r="C25" s="46"/>
      <c r="D25" s="42" t="s">
        <v>26</v>
      </c>
      <c r="E25" s="42">
        <v>1</v>
      </c>
      <c r="F25" s="42">
        <v>1</v>
      </c>
      <c r="G25" s="42" t="s">
        <v>134</v>
      </c>
      <c r="H25" s="42" t="s">
        <v>135</v>
      </c>
    </row>
    <row r="26" spans="1:8" x14ac:dyDescent="0.25">
      <c r="A26" s="28" t="s">
        <v>14</v>
      </c>
      <c r="B26" s="28"/>
      <c r="C26" s="40"/>
      <c r="D26" s="42" t="s">
        <v>26</v>
      </c>
      <c r="E26" s="42">
        <v>1.1000000000000001</v>
      </c>
      <c r="F26" s="42">
        <v>1.1000000000000001</v>
      </c>
      <c r="G26" s="42" t="s">
        <v>136</v>
      </c>
      <c r="H26" s="42" t="s">
        <v>135</v>
      </c>
    </row>
    <row r="27" spans="1:8" x14ac:dyDescent="0.25">
      <c r="A27" s="45" t="s">
        <v>15</v>
      </c>
      <c r="B27" s="45"/>
      <c r="C27" s="46"/>
      <c r="D27" s="42" t="s">
        <v>101</v>
      </c>
      <c r="E27" s="42">
        <v>2</v>
      </c>
      <c r="F27" s="42">
        <v>2</v>
      </c>
      <c r="G27" s="42" t="s">
        <v>136</v>
      </c>
      <c r="H27" s="42" t="s">
        <v>135</v>
      </c>
    </row>
    <row r="28" spans="1:8" x14ac:dyDescent="0.25">
      <c r="A28" s="28" t="s">
        <v>105</v>
      </c>
      <c r="B28" s="28"/>
      <c r="C28" s="40"/>
      <c r="D28" s="42" t="s">
        <v>26</v>
      </c>
      <c r="E28" s="42">
        <v>11</v>
      </c>
      <c r="F28" s="42">
        <v>11</v>
      </c>
      <c r="G28" s="42" t="s">
        <v>134</v>
      </c>
      <c r="H28" s="42" t="s">
        <v>135</v>
      </c>
    </row>
    <row r="29" spans="1:8" x14ac:dyDescent="0.25">
      <c r="A29" s="45" t="s">
        <v>107</v>
      </c>
      <c r="B29" s="45"/>
      <c r="C29" s="46"/>
      <c r="D29" s="42" t="s">
        <v>101</v>
      </c>
      <c r="E29" s="42">
        <v>225</v>
      </c>
      <c r="F29" s="42">
        <v>225</v>
      </c>
      <c r="G29" s="42" t="s">
        <v>136</v>
      </c>
      <c r="H29" s="42" t="s">
        <v>135</v>
      </c>
    </row>
    <row r="30" spans="1:8" x14ac:dyDescent="0.25">
      <c r="A30" s="28" t="s">
        <v>108</v>
      </c>
      <c r="B30" s="28"/>
      <c r="C30" s="40"/>
      <c r="D30" s="42" t="s">
        <v>26</v>
      </c>
      <c r="E30" s="42">
        <v>4</v>
      </c>
      <c r="F30" s="42">
        <v>4</v>
      </c>
      <c r="G30" s="42" t="s">
        <v>134</v>
      </c>
      <c r="H30" s="42" t="s">
        <v>126</v>
      </c>
    </row>
    <row r="31" spans="1:8" x14ac:dyDescent="0.25">
      <c r="A31" s="45" t="s">
        <v>109</v>
      </c>
      <c r="B31" s="45"/>
      <c r="C31" s="46"/>
      <c r="D31" s="42" t="s">
        <v>101</v>
      </c>
      <c r="E31" s="62">
        <v>35</v>
      </c>
      <c r="F31" s="62">
        <v>35</v>
      </c>
      <c r="G31" s="42" t="s">
        <v>138</v>
      </c>
      <c r="H31" s="42" t="s">
        <v>126</v>
      </c>
    </row>
    <row r="32" spans="1:8" x14ac:dyDescent="0.25">
      <c r="A32" s="28" t="s">
        <v>23</v>
      </c>
      <c r="B32" s="28"/>
      <c r="C32" s="40"/>
      <c r="D32" s="42" t="s">
        <v>26</v>
      </c>
      <c r="E32" s="42">
        <v>50</v>
      </c>
      <c r="F32" s="42">
        <v>50</v>
      </c>
      <c r="G32" s="42" t="s">
        <v>129</v>
      </c>
      <c r="H32" s="42" t="s">
        <v>124</v>
      </c>
    </row>
    <row r="33" spans="1:8" x14ac:dyDescent="0.25">
      <c r="D33" s="42"/>
      <c r="E33" s="42"/>
      <c r="F33" s="42"/>
      <c r="G33" s="42"/>
      <c r="H33" s="42"/>
    </row>
    <row r="34" spans="1:8" ht="15" x14ac:dyDescent="0.25">
      <c r="A34" s="295" t="s">
        <v>112</v>
      </c>
      <c r="B34" s="295"/>
      <c r="C34" s="48"/>
      <c r="D34" s="42"/>
      <c r="E34" s="42"/>
      <c r="F34" s="42"/>
      <c r="G34" s="42"/>
      <c r="H34" s="42"/>
    </row>
    <row r="35" spans="1:8" x14ac:dyDescent="0.25">
      <c r="A35" s="28" t="s">
        <v>32</v>
      </c>
      <c r="B35" s="28"/>
      <c r="C35" s="40"/>
      <c r="D35" s="42" t="s">
        <v>26</v>
      </c>
      <c r="E35" s="51">
        <v>1200</v>
      </c>
      <c r="F35" s="51">
        <v>1100</v>
      </c>
      <c r="G35" s="42" t="s">
        <v>134</v>
      </c>
      <c r="H35" s="42" t="s">
        <v>126</v>
      </c>
    </row>
    <row r="36" spans="1:8" x14ac:dyDescent="0.25">
      <c r="A36" s="49" t="s">
        <v>34</v>
      </c>
      <c r="B36" s="49"/>
      <c r="C36" s="50"/>
      <c r="D36" s="42" t="s">
        <v>26</v>
      </c>
      <c r="E36" s="42">
        <v>700</v>
      </c>
      <c r="F36" s="42">
        <v>700</v>
      </c>
      <c r="G36" s="42" t="s">
        <v>129</v>
      </c>
      <c r="H36" s="42" t="s">
        <v>124</v>
      </c>
    </row>
    <row r="37" spans="1:8" x14ac:dyDescent="0.25">
      <c r="A37" s="28" t="s">
        <v>36</v>
      </c>
      <c r="B37" s="28"/>
      <c r="C37" s="40"/>
      <c r="D37" s="42" t="s">
        <v>26</v>
      </c>
      <c r="E37" s="42">
        <v>280</v>
      </c>
      <c r="F37" s="42">
        <v>280</v>
      </c>
      <c r="G37" s="42" t="s">
        <v>129</v>
      </c>
      <c r="H37" s="42" t="s">
        <v>124</v>
      </c>
    </row>
    <row r="38" spans="1:8" x14ac:dyDescent="0.25">
      <c r="A38" s="49" t="s">
        <v>38</v>
      </c>
      <c r="B38" s="49"/>
      <c r="C38" s="50"/>
      <c r="D38" s="42" t="s">
        <v>26</v>
      </c>
      <c r="E38" s="42">
        <v>11</v>
      </c>
      <c r="F38" s="42">
        <v>11</v>
      </c>
      <c r="G38" s="42" t="s">
        <v>129</v>
      </c>
      <c r="H38" s="42" t="s">
        <v>124</v>
      </c>
    </row>
    <row r="39" spans="1:8" x14ac:dyDescent="0.25">
      <c r="A39" s="28" t="s">
        <v>40</v>
      </c>
      <c r="B39" s="28"/>
      <c r="C39" s="40"/>
      <c r="D39" s="42" t="s">
        <v>26</v>
      </c>
      <c r="E39" s="51">
        <v>11</v>
      </c>
      <c r="F39" s="51">
        <v>8</v>
      </c>
      <c r="G39" s="42" t="s">
        <v>129</v>
      </c>
      <c r="H39" s="42" t="s">
        <v>124</v>
      </c>
    </row>
    <row r="40" spans="1:8" x14ac:dyDescent="0.25">
      <c r="A40" s="49" t="s">
        <v>42</v>
      </c>
      <c r="B40" s="49"/>
      <c r="C40" s="50"/>
      <c r="D40" s="42" t="s">
        <v>26</v>
      </c>
      <c r="E40" s="62">
        <v>2</v>
      </c>
      <c r="F40" s="62">
        <v>2</v>
      </c>
      <c r="G40" s="42" t="s">
        <v>139</v>
      </c>
      <c r="H40" s="42" t="s">
        <v>126</v>
      </c>
    </row>
    <row r="41" spans="1:8" x14ac:dyDescent="0.25">
      <c r="A41" s="28" t="s">
        <v>45</v>
      </c>
      <c r="B41" s="28"/>
      <c r="C41" s="40"/>
      <c r="D41" s="42" t="s">
        <v>26</v>
      </c>
      <c r="E41" s="42">
        <v>0.7</v>
      </c>
      <c r="F41" s="42">
        <v>0.7</v>
      </c>
      <c r="G41" s="42" t="s">
        <v>129</v>
      </c>
      <c r="H41" s="42" t="s">
        <v>124</v>
      </c>
    </row>
    <row r="42" spans="1:8" x14ac:dyDescent="0.25">
      <c r="A42" s="49" t="s">
        <v>47</v>
      </c>
      <c r="B42" s="49"/>
      <c r="C42" s="50"/>
      <c r="D42" s="42" t="s">
        <v>101</v>
      </c>
      <c r="E42" s="42">
        <v>150</v>
      </c>
      <c r="F42" s="42">
        <v>150</v>
      </c>
      <c r="G42" s="42" t="s">
        <v>129</v>
      </c>
      <c r="H42" s="42" t="s">
        <v>124</v>
      </c>
    </row>
    <row r="43" spans="1:8" x14ac:dyDescent="0.25">
      <c r="A43" s="28" t="s">
        <v>49</v>
      </c>
      <c r="B43" s="28"/>
      <c r="C43" s="40"/>
      <c r="D43" s="42" t="s">
        <v>101</v>
      </c>
      <c r="E43" s="62">
        <v>45</v>
      </c>
      <c r="F43" s="62">
        <v>45</v>
      </c>
      <c r="G43" s="42" t="s">
        <v>139</v>
      </c>
      <c r="H43" s="42" t="s">
        <v>126</v>
      </c>
    </row>
    <row r="44" spans="1:8" x14ac:dyDescent="0.25">
      <c r="A44" s="49" t="s">
        <v>51</v>
      </c>
      <c r="B44" s="49"/>
      <c r="C44" s="50"/>
      <c r="D44" s="42" t="s">
        <v>101</v>
      </c>
      <c r="E44" s="51">
        <v>25</v>
      </c>
      <c r="F44" s="51">
        <v>21</v>
      </c>
      <c r="G44" s="42" t="s">
        <v>140</v>
      </c>
      <c r="H44" s="42" t="s">
        <v>126</v>
      </c>
    </row>
    <row r="45" spans="1:8" x14ac:dyDescent="0.25">
      <c r="A45" s="28" t="s">
        <v>53</v>
      </c>
      <c r="B45" s="28"/>
      <c r="C45" s="40"/>
      <c r="D45" s="42" t="s">
        <v>101</v>
      </c>
      <c r="E45" s="42">
        <v>40</v>
      </c>
      <c r="F45" s="42">
        <v>40</v>
      </c>
      <c r="G45" s="42" t="s">
        <v>129</v>
      </c>
      <c r="H45" s="42" t="s">
        <v>124</v>
      </c>
    </row>
    <row r="46" spans="1:8" x14ac:dyDescent="0.25">
      <c r="A46" s="49" t="s">
        <v>55</v>
      </c>
      <c r="B46" s="49"/>
      <c r="C46" s="50"/>
      <c r="D46" s="42" t="s">
        <v>26</v>
      </c>
      <c r="E46" s="16">
        <v>1500</v>
      </c>
      <c r="F46" s="42">
        <v>1500</v>
      </c>
      <c r="G46" s="42" t="s">
        <v>142</v>
      </c>
      <c r="H46" s="42" t="s">
        <v>143</v>
      </c>
    </row>
    <row r="47" spans="1:8" ht="27" customHeight="1" x14ac:dyDescent="0.25">
      <c r="A47" s="28" t="s">
        <v>57</v>
      </c>
      <c r="B47" s="28"/>
      <c r="C47" s="40"/>
      <c r="D47" s="42" t="s">
        <v>26</v>
      </c>
      <c r="E47" s="51">
        <v>3300</v>
      </c>
      <c r="F47" s="51">
        <v>2900</v>
      </c>
      <c r="G47" s="42" t="s">
        <v>129</v>
      </c>
      <c r="H47" s="51" t="s">
        <v>124</v>
      </c>
    </row>
    <row r="48" spans="1:8" x14ac:dyDescent="0.25">
      <c r="A48" s="49" t="s">
        <v>60</v>
      </c>
      <c r="B48" s="49"/>
      <c r="C48" s="50"/>
      <c r="D48" s="42" t="s">
        <v>26</v>
      </c>
      <c r="E48" s="62">
        <v>2300</v>
      </c>
      <c r="F48" s="62">
        <v>2300</v>
      </c>
      <c r="G48" s="42" t="s">
        <v>144</v>
      </c>
      <c r="H48" s="42" t="s">
        <v>126</v>
      </c>
    </row>
    <row r="52" spans="5:5" ht="248.4" x14ac:dyDescent="0.25">
      <c r="E52" s="24" t="s">
        <v>153</v>
      </c>
    </row>
    <row r="53" spans="5:5" x14ac:dyDescent="0.25">
      <c r="E53" s="16" t="s">
        <v>146</v>
      </c>
    </row>
    <row r="54" spans="5:5" x14ac:dyDescent="0.25">
      <c r="E54" s="16" t="s">
        <v>177</v>
      </c>
    </row>
  </sheetData>
  <mergeCells count="2">
    <mergeCell ref="A34:B34"/>
    <mergeCell ref="A4:B4"/>
  </mergeCells>
  <pageMargins left="0.7" right="0.7" top="0.75" bottom="0.75" header="0.3" footer="0.3"/>
  <extLst>
    <ext xmlns:mx="http://schemas.microsoft.com/office/mac/excel/2008/main" uri="{64002731-A6B0-56B0-2670-7721B7C09600}">
      <mx:PLV Mode="0" OnePage="0" WScale="0"/>
    </ext>
  </extLst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A00-000000000000}">
  <dimension ref="A1:I54"/>
  <sheetViews>
    <sheetView topLeftCell="A13" workbookViewId="0">
      <selection activeCell="I15" sqref="I15"/>
    </sheetView>
  </sheetViews>
  <sheetFormatPr defaultColWidth="8.88671875" defaultRowHeight="13.8" x14ac:dyDescent="0.25"/>
  <cols>
    <col min="1" max="1" width="15" style="16" customWidth="1"/>
    <col min="2" max="2" width="8.6640625" style="16" customWidth="1"/>
    <col min="3" max="3" width="23" style="16" customWidth="1"/>
    <col min="4" max="4" width="8.88671875" style="16"/>
    <col min="5" max="7" width="21.6640625" style="16" customWidth="1"/>
    <col min="8" max="8" width="11.44140625" style="16" bestFit="1" customWidth="1"/>
    <col min="9" max="16384" width="8.88671875" style="16"/>
  </cols>
  <sheetData>
    <row r="1" spans="1:9" ht="15" x14ac:dyDescent="0.25">
      <c r="E1" s="23" t="s">
        <v>173</v>
      </c>
      <c r="F1" s="23" t="s">
        <v>174</v>
      </c>
      <c r="G1" s="23" t="s">
        <v>116</v>
      </c>
      <c r="H1" s="23" t="s">
        <v>117</v>
      </c>
    </row>
    <row r="4" spans="1:9" ht="15" x14ac:dyDescent="0.25">
      <c r="A4" s="296" t="s">
        <v>175</v>
      </c>
      <c r="B4" s="296"/>
      <c r="C4" s="25"/>
      <c r="D4" s="26" t="s">
        <v>119</v>
      </c>
      <c r="E4" s="26"/>
      <c r="F4" s="26"/>
      <c r="G4" s="26"/>
      <c r="H4" s="26"/>
    </row>
    <row r="5" spans="1:9" ht="34.5" customHeight="1" x14ac:dyDescent="0.25">
      <c r="A5" s="28" t="s">
        <v>35</v>
      </c>
      <c r="B5" s="28"/>
      <c r="C5" s="28"/>
      <c r="D5" s="16" t="s">
        <v>170</v>
      </c>
      <c r="E5" s="58">
        <v>3344</v>
      </c>
      <c r="F5" s="58">
        <v>2484</v>
      </c>
      <c r="G5" s="16" t="s">
        <v>121</v>
      </c>
      <c r="H5" s="16" t="s">
        <v>122</v>
      </c>
    </row>
    <row r="6" spans="1:9" x14ac:dyDescent="0.25">
      <c r="A6" s="31" t="s">
        <v>96</v>
      </c>
      <c r="B6" s="31"/>
      <c r="C6" s="31"/>
      <c r="D6" s="16" t="s">
        <v>123</v>
      </c>
      <c r="E6" s="24">
        <v>56</v>
      </c>
      <c r="F6" s="24">
        <v>49</v>
      </c>
      <c r="G6" s="16" t="s">
        <v>121</v>
      </c>
      <c r="H6" s="24" t="s">
        <v>124</v>
      </c>
    </row>
    <row r="7" spans="1:9" x14ac:dyDescent="0.25">
      <c r="A7" s="28" t="s">
        <v>39</v>
      </c>
      <c r="B7" s="28"/>
      <c r="C7" s="53"/>
      <c r="D7" s="16" t="s">
        <v>123</v>
      </c>
      <c r="E7" s="55">
        <v>148.62</v>
      </c>
      <c r="F7" s="55">
        <v>110.4</v>
      </c>
      <c r="G7" s="16" t="s">
        <v>121</v>
      </c>
      <c r="H7" s="16" t="s">
        <v>126</v>
      </c>
    </row>
    <row r="8" spans="1:9" x14ac:dyDescent="0.25">
      <c r="A8" s="31" t="s">
        <v>98</v>
      </c>
      <c r="B8" s="31"/>
      <c r="C8" s="53"/>
      <c r="E8" s="55"/>
      <c r="F8" s="55"/>
    </row>
    <row r="9" spans="1:9" x14ac:dyDescent="0.25">
      <c r="A9" s="28" t="s">
        <v>41</v>
      </c>
      <c r="B9" s="28"/>
      <c r="C9" s="53"/>
      <c r="E9" s="55"/>
      <c r="F9" s="55"/>
    </row>
    <row r="10" spans="1:9" x14ac:dyDescent="0.25">
      <c r="A10" s="31" t="s">
        <v>48</v>
      </c>
      <c r="B10" s="31"/>
      <c r="C10" s="53"/>
      <c r="E10" s="55"/>
      <c r="F10" s="55"/>
    </row>
    <row r="11" spans="1:9" x14ac:dyDescent="0.25">
      <c r="A11" s="28" t="s">
        <v>50</v>
      </c>
      <c r="B11" s="28"/>
      <c r="C11" s="53"/>
      <c r="E11" s="55"/>
      <c r="F11" s="55"/>
    </row>
    <row r="12" spans="1:9" x14ac:dyDescent="0.25">
      <c r="A12" s="31" t="s">
        <v>44</v>
      </c>
      <c r="B12" s="31"/>
      <c r="C12" s="31"/>
      <c r="D12" s="16" t="s">
        <v>123</v>
      </c>
      <c r="E12" s="60">
        <v>7.43</v>
      </c>
      <c r="F12" s="112">
        <v>5.52</v>
      </c>
      <c r="G12" s="16" t="s">
        <v>121</v>
      </c>
      <c r="H12" s="16" t="s">
        <v>126</v>
      </c>
    </row>
    <row r="13" spans="1:9" x14ac:dyDescent="0.25">
      <c r="A13" s="28" t="s">
        <v>46</v>
      </c>
      <c r="B13" s="28"/>
      <c r="C13" s="28"/>
      <c r="D13" s="16" t="s">
        <v>123</v>
      </c>
      <c r="E13" s="61">
        <f>(E5*0.01)/9</f>
        <v>3.7155555555555555</v>
      </c>
      <c r="F13" s="61">
        <f>(F5*0.01)/9</f>
        <v>2.76</v>
      </c>
      <c r="G13" s="16" t="s">
        <v>121</v>
      </c>
      <c r="H13" s="16" t="s">
        <v>126</v>
      </c>
    </row>
    <row r="14" spans="1:9" x14ac:dyDescent="0.25">
      <c r="A14" s="31" t="s">
        <v>52</v>
      </c>
      <c r="B14" s="31"/>
      <c r="C14" s="31"/>
      <c r="D14" s="16" t="s">
        <v>123</v>
      </c>
      <c r="E14" s="52">
        <v>334.4</v>
      </c>
      <c r="F14" s="52">
        <v>248.4</v>
      </c>
      <c r="G14" s="16" t="s">
        <v>121</v>
      </c>
      <c r="H14" s="16" t="s">
        <v>124</v>
      </c>
    </row>
    <row r="15" spans="1:9" x14ac:dyDescent="0.25">
      <c r="A15" s="28" t="s">
        <v>54</v>
      </c>
      <c r="B15" s="28"/>
      <c r="C15" s="35"/>
      <c r="D15" s="16" t="s">
        <v>123</v>
      </c>
      <c r="E15" s="24">
        <v>47.6</v>
      </c>
      <c r="F15" s="24">
        <v>35.36</v>
      </c>
      <c r="G15" s="24" t="s">
        <v>171</v>
      </c>
      <c r="H15" s="16" t="s">
        <v>124</v>
      </c>
      <c r="I15" s="24" t="s">
        <v>176</v>
      </c>
    </row>
    <row r="16" spans="1:9" x14ac:dyDescent="0.25">
      <c r="A16" s="34" t="s">
        <v>56</v>
      </c>
      <c r="B16" s="34"/>
      <c r="C16" s="35"/>
      <c r="E16" s="24"/>
      <c r="F16" s="24"/>
      <c r="G16" s="24"/>
      <c r="I16" s="24"/>
    </row>
    <row r="18" spans="1:8" ht="15" x14ac:dyDescent="0.25">
      <c r="A18" s="37" t="s">
        <v>99</v>
      </c>
      <c r="B18" s="38"/>
      <c r="C18" s="38"/>
      <c r="D18" s="39"/>
      <c r="E18" s="39"/>
      <c r="F18" s="39"/>
      <c r="G18" s="39"/>
      <c r="H18" s="39"/>
    </row>
    <row r="19" spans="1:8" ht="15" x14ac:dyDescent="0.25">
      <c r="A19" s="37"/>
      <c r="B19" s="38"/>
      <c r="C19" s="38"/>
      <c r="D19" s="39"/>
      <c r="E19" s="39"/>
      <c r="F19" s="39"/>
      <c r="G19" s="39"/>
      <c r="H19" s="39"/>
    </row>
    <row r="20" spans="1:8" x14ac:dyDescent="0.25">
      <c r="A20" s="28" t="s">
        <v>7</v>
      </c>
      <c r="B20" s="28"/>
      <c r="C20" s="40"/>
      <c r="D20" s="16" t="s">
        <v>101</v>
      </c>
      <c r="E20" s="16">
        <v>900</v>
      </c>
      <c r="F20" s="16">
        <v>700</v>
      </c>
      <c r="G20" s="16" t="s">
        <v>129</v>
      </c>
      <c r="H20" s="42" t="s">
        <v>124</v>
      </c>
    </row>
    <row r="21" spans="1:8" ht="15" customHeight="1" x14ac:dyDescent="0.25">
      <c r="A21" s="57" t="s">
        <v>8</v>
      </c>
      <c r="B21" s="44"/>
      <c r="C21" s="44"/>
      <c r="D21" s="16" t="s">
        <v>101</v>
      </c>
      <c r="E21" s="42">
        <v>10</v>
      </c>
      <c r="F21" s="42">
        <v>10</v>
      </c>
      <c r="G21" s="42" t="s">
        <v>130</v>
      </c>
      <c r="H21" s="42" t="s">
        <v>126</v>
      </c>
    </row>
    <row r="22" spans="1:8" ht="30" customHeight="1" x14ac:dyDescent="0.25">
      <c r="A22" s="28" t="s">
        <v>9</v>
      </c>
      <c r="B22" s="28"/>
      <c r="C22" s="40"/>
      <c r="D22" s="16" t="s">
        <v>26</v>
      </c>
      <c r="E22" s="51">
        <v>10</v>
      </c>
      <c r="F22" s="51">
        <v>8</v>
      </c>
      <c r="G22" s="42" t="s">
        <v>129</v>
      </c>
      <c r="H22" s="42" t="s">
        <v>124</v>
      </c>
    </row>
    <row r="23" spans="1:8" x14ac:dyDescent="0.25">
      <c r="A23" s="45" t="s">
        <v>10</v>
      </c>
      <c r="B23" s="45"/>
      <c r="C23" s="46"/>
      <c r="D23" s="16" t="s">
        <v>101</v>
      </c>
      <c r="E23" s="47">
        <v>75</v>
      </c>
      <c r="F23" s="47">
        <v>75</v>
      </c>
      <c r="G23" s="47" t="s">
        <v>132</v>
      </c>
      <c r="H23" s="47" t="s">
        <v>126</v>
      </c>
    </row>
    <row r="24" spans="1:8" x14ac:dyDescent="0.25">
      <c r="A24" s="28" t="s">
        <v>103</v>
      </c>
      <c r="B24" s="28"/>
      <c r="C24" s="40"/>
      <c r="D24" s="42" t="s">
        <v>26</v>
      </c>
      <c r="E24" s="42">
        <v>1.1000000000000001</v>
      </c>
      <c r="F24" s="42">
        <v>1.1000000000000001</v>
      </c>
      <c r="G24" s="42" t="s">
        <v>134</v>
      </c>
      <c r="H24" s="42" t="s">
        <v>135</v>
      </c>
    </row>
    <row r="25" spans="1:8" x14ac:dyDescent="0.25">
      <c r="A25" s="45" t="s">
        <v>104</v>
      </c>
      <c r="B25" s="45"/>
      <c r="C25" s="46"/>
      <c r="D25" s="42" t="s">
        <v>26</v>
      </c>
      <c r="E25" s="42">
        <v>1.5</v>
      </c>
      <c r="F25" s="42">
        <v>1.1000000000000001</v>
      </c>
      <c r="G25" s="42" t="s">
        <v>134</v>
      </c>
      <c r="H25" s="42" t="s">
        <v>135</v>
      </c>
    </row>
    <row r="26" spans="1:8" x14ac:dyDescent="0.25">
      <c r="A26" s="28" t="s">
        <v>14</v>
      </c>
      <c r="B26" s="28"/>
      <c r="C26" s="40"/>
      <c r="D26" s="42" t="s">
        <v>26</v>
      </c>
      <c r="E26" s="42">
        <v>1.5</v>
      </c>
      <c r="F26" s="42">
        <v>1.5</v>
      </c>
      <c r="G26" s="42" t="s">
        <v>136</v>
      </c>
      <c r="H26" s="42" t="s">
        <v>135</v>
      </c>
    </row>
    <row r="27" spans="1:8" x14ac:dyDescent="0.25">
      <c r="A27" s="45" t="s">
        <v>15</v>
      </c>
      <c r="B27" s="45"/>
      <c r="C27" s="46"/>
      <c r="D27" s="42" t="s">
        <v>101</v>
      </c>
      <c r="E27" s="42">
        <v>2.8</v>
      </c>
      <c r="F27" s="42">
        <v>2.8</v>
      </c>
      <c r="G27" s="42" t="s">
        <v>136</v>
      </c>
      <c r="H27" s="42" t="s">
        <v>135</v>
      </c>
    </row>
    <row r="28" spans="1:8" x14ac:dyDescent="0.25">
      <c r="A28" s="28" t="s">
        <v>105</v>
      </c>
      <c r="B28" s="28"/>
      <c r="C28" s="40"/>
      <c r="D28" s="42" t="s">
        <v>26</v>
      </c>
      <c r="E28" s="42">
        <v>17</v>
      </c>
      <c r="F28" s="42">
        <v>13</v>
      </c>
      <c r="G28" s="42" t="s">
        <v>134</v>
      </c>
      <c r="H28" s="42" t="s">
        <v>135</v>
      </c>
    </row>
    <row r="29" spans="1:8" x14ac:dyDescent="0.25">
      <c r="A29" s="45" t="s">
        <v>107</v>
      </c>
      <c r="B29" s="45"/>
      <c r="C29" s="46"/>
      <c r="D29" s="42" t="s">
        <v>101</v>
      </c>
      <c r="E29" s="42">
        <v>300</v>
      </c>
      <c r="F29" s="42">
        <v>300</v>
      </c>
      <c r="G29" s="42" t="s">
        <v>136</v>
      </c>
      <c r="H29" s="42" t="s">
        <v>135</v>
      </c>
    </row>
    <row r="30" spans="1:8" x14ac:dyDescent="0.25">
      <c r="A30" s="28" t="s">
        <v>108</v>
      </c>
      <c r="B30" s="28"/>
      <c r="C30" s="40"/>
      <c r="D30" s="42" t="s">
        <v>26</v>
      </c>
      <c r="E30" s="42">
        <v>5</v>
      </c>
      <c r="F30" s="42">
        <v>5</v>
      </c>
      <c r="G30" s="42" t="s">
        <v>134</v>
      </c>
      <c r="H30" s="42" t="s">
        <v>126</v>
      </c>
    </row>
    <row r="31" spans="1:8" x14ac:dyDescent="0.25">
      <c r="A31" s="45" t="s">
        <v>109</v>
      </c>
      <c r="B31" s="45"/>
      <c r="C31" s="46"/>
      <c r="D31" s="42" t="s">
        <v>101</v>
      </c>
      <c r="E31" s="62">
        <v>35</v>
      </c>
      <c r="F31" s="62">
        <v>35</v>
      </c>
      <c r="G31" s="42" t="s">
        <v>138</v>
      </c>
      <c r="H31" s="42" t="s">
        <v>126</v>
      </c>
    </row>
    <row r="32" spans="1:8" x14ac:dyDescent="0.25">
      <c r="A32" s="28" t="s">
        <v>23</v>
      </c>
      <c r="B32" s="28"/>
      <c r="C32" s="40"/>
      <c r="D32" s="42" t="s">
        <v>26</v>
      </c>
      <c r="E32" s="42">
        <v>75</v>
      </c>
      <c r="F32" s="42">
        <v>75</v>
      </c>
      <c r="G32" s="42" t="s">
        <v>129</v>
      </c>
      <c r="H32" s="42" t="s">
        <v>124</v>
      </c>
    </row>
    <row r="33" spans="1:8" x14ac:dyDescent="0.25">
      <c r="D33" s="42"/>
      <c r="E33" s="42"/>
      <c r="F33" s="42"/>
      <c r="G33" s="42"/>
      <c r="H33" s="42"/>
    </row>
    <row r="34" spans="1:8" ht="15" x14ac:dyDescent="0.25">
      <c r="A34" s="295" t="s">
        <v>112</v>
      </c>
      <c r="B34" s="295"/>
      <c r="C34" s="48"/>
      <c r="D34" s="42"/>
      <c r="E34" s="42"/>
      <c r="F34" s="42"/>
      <c r="G34" s="42"/>
      <c r="H34" s="42"/>
    </row>
    <row r="35" spans="1:8" x14ac:dyDescent="0.25">
      <c r="A35" s="28" t="s">
        <v>32</v>
      </c>
      <c r="B35" s="28"/>
      <c r="C35" s="40"/>
      <c r="D35" s="42" t="s">
        <v>26</v>
      </c>
      <c r="E35" s="51">
        <v>1200</v>
      </c>
      <c r="F35" s="51">
        <v>1100</v>
      </c>
      <c r="G35" s="42" t="s">
        <v>134</v>
      </c>
      <c r="H35" s="42" t="s">
        <v>126</v>
      </c>
    </row>
    <row r="36" spans="1:8" x14ac:dyDescent="0.25">
      <c r="A36" s="49" t="s">
        <v>34</v>
      </c>
      <c r="B36" s="49"/>
      <c r="C36" s="50"/>
      <c r="D36" s="42" t="s">
        <v>26</v>
      </c>
      <c r="E36" s="42">
        <v>700</v>
      </c>
      <c r="F36" s="42">
        <v>700</v>
      </c>
      <c r="G36" s="42" t="s">
        <v>129</v>
      </c>
      <c r="H36" s="42" t="s">
        <v>124</v>
      </c>
    </row>
    <row r="37" spans="1:8" x14ac:dyDescent="0.25">
      <c r="A37" s="28" t="s">
        <v>36</v>
      </c>
      <c r="B37" s="28"/>
      <c r="C37" s="40"/>
      <c r="D37" s="42" t="s">
        <v>26</v>
      </c>
      <c r="E37" s="42">
        <v>350</v>
      </c>
      <c r="F37" s="42">
        <v>280</v>
      </c>
      <c r="G37" s="42" t="s">
        <v>129</v>
      </c>
      <c r="H37" s="42" t="s">
        <v>124</v>
      </c>
    </row>
    <row r="38" spans="1:8" x14ac:dyDescent="0.25">
      <c r="A38" s="49" t="s">
        <v>38</v>
      </c>
      <c r="B38" s="49"/>
      <c r="C38" s="50"/>
      <c r="D38" s="42" t="s">
        <v>26</v>
      </c>
      <c r="E38" s="42">
        <v>11</v>
      </c>
      <c r="F38" s="42">
        <v>15</v>
      </c>
      <c r="G38" s="42" t="s">
        <v>129</v>
      </c>
      <c r="H38" s="42" t="s">
        <v>124</v>
      </c>
    </row>
    <row r="39" spans="1:8" x14ac:dyDescent="0.25">
      <c r="A39" s="28" t="s">
        <v>40</v>
      </c>
      <c r="B39" s="28"/>
      <c r="C39" s="40"/>
      <c r="D39" s="42" t="s">
        <v>26</v>
      </c>
      <c r="E39" s="51">
        <v>12</v>
      </c>
      <c r="F39" s="51">
        <v>9</v>
      </c>
      <c r="G39" s="42" t="s">
        <v>129</v>
      </c>
      <c r="H39" s="42" t="s">
        <v>124</v>
      </c>
    </row>
    <row r="40" spans="1:8" x14ac:dyDescent="0.25">
      <c r="A40" s="49" t="s">
        <v>42</v>
      </c>
      <c r="B40" s="49"/>
      <c r="C40" s="50"/>
      <c r="D40" s="42" t="s">
        <v>26</v>
      </c>
      <c r="E40" s="62">
        <v>3</v>
      </c>
      <c r="F40" s="62">
        <v>3</v>
      </c>
      <c r="G40" s="42" t="s">
        <v>139</v>
      </c>
      <c r="H40" s="42" t="s">
        <v>126</v>
      </c>
    </row>
    <row r="41" spans="1:8" x14ac:dyDescent="0.25">
      <c r="A41" s="28" t="s">
        <v>45</v>
      </c>
      <c r="B41" s="28"/>
      <c r="C41" s="40"/>
      <c r="D41" s="42" t="s">
        <v>26</v>
      </c>
      <c r="E41" s="42">
        <v>0.9</v>
      </c>
      <c r="F41" s="42">
        <v>0.9</v>
      </c>
      <c r="G41" s="42" t="s">
        <v>129</v>
      </c>
      <c r="H41" s="42" t="s">
        <v>124</v>
      </c>
    </row>
    <row r="42" spans="1:8" x14ac:dyDescent="0.25">
      <c r="A42" s="49" t="s">
        <v>47</v>
      </c>
      <c r="B42" s="49"/>
      <c r="C42" s="50"/>
      <c r="D42" s="42" t="s">
        <v>101</v>
      </c>
      <c r="E42" s="42">
        <v>150</v>
      </c>
      <c r="F42" s="42">
        <v>150</v>
      </c>
      <c r="G42" s="42" t="s">
        <v>129</v>
      </c>
      <c r="H42" s="42" t="s">
        <v>124</v>
      </c>
    </row>
    <row r="43" spans="1:8" x14ac:dyDescent="0.25">
      <c r="A43" s="28" t="s">
        <v>49</v>
      </c>
      <c r="B43" s="28"/>
      <c r="C43" s="40"/>
      <c r="D43" s="42" t="s">
        <v>101</v>
      </c>
      <c r="E43" s="62">
        <v>65</v>
      </c>
      <c r="F43" s="62">
        <v>65</v>
      </c>
      <c r="G43" s="42" t="s">
        <v>139</v>
      </c>
      <c r="H43" s="42" t="s">
        <v>126</v>
      </c>
    </row>
    <row r="44" spans="1:8" x14ac:dyDescent="0.25">
      <c r="A44" s="49" t="s">
        <v>51</v>
      </c>
      <c r="B44" s="49"/>
      <c r="C44" s="50"/>
      <c r="D44" s="42" t="s">
        <v>101</v>
      </c>
      <c r="E44" s="51">
        <v>35</v>
      </c>
      <c r="F44" s="51">
        <v>24</v>
      </c>
      <c r="G44" s="42" t="s">
        <v>140</v>
      </c>
      <c r="H44" s="42" t="s">
        <v>126</v>
      </c>
    </row>
    <row r="45" spans="1:8" x14ac:dyDescent="0.25">
      <c r="A45" s="28" t="s">
        <v>53</v>
      </c>
      <c r="B45" s="28"/>
      <c r="C45" s="40"/>
      <c r="D45" s="42" t="s">
        <v>101</v>
      </c>
      <c r="E45" s="42">
        <v>60</v>
      </c>
      <c r="F45" s="42">
        <v>50</v>
      </c>
      <c r="G45" s="42" t="s">
        <v>129</v>
      </c>
      <c r="H45" s="42" t="s">
        <v>124</v>
      </c>
    </row>
    <row r="46" spans="1:8" x14ac:dyDescent="0.25">
      <c r="A46" s="49" t="s">
        <v>55</v>
      </c>
      <c r="B46" s="49"/>
      <c r="C46" s="50"/>
      <c r="D46" s="42" t="s">
        <v>26</v>
      </c>
      <c r="E46" s="16">
        <v>1500</v>
      </c>
      <c r="F46" s="42">
        <v>1500</v>
      </c>
      <c r="G46" s="42" t="s">
        <v>142</v>
      </c>
      <c r="H46" s="42" t="s">
        <v>143</v>
      </c>
    </row>
    <row r="47" spans="1:8" ht="27" customHeight="1" x14ac:dyDescent="0.25">
      <c r="A47" s="28" t="s">
        <v>57</v>
      </c>
      <c r="B47" s="28"/>
      <c r="C47" s="40"/>
      <c r="D47" s="42" t="s">
        <v>26</v>
      </c>
      <c r="E47" s="51">
        <v>3500</v>
      </c>
      <c r="F47" s="51">
        <v>3100</v>
      </c>
      <c r="G47" s="42" t="s">
        <v>129</v>
      </c>
      <c r="H47" s="51" t="s">
        <v>124</v>
      </c>
    </row>
    <row r="48" spans="1:8" x14ac:dyDescent="0.25">
      <c r="A48" s="49" t="s">
        <v>60</v>
      </c>
      <c r="B48" s="49"/>
      <c r="C48" s="50"/>
      <c r="D48" s="42" t="s">
        <v>26</v>
      </c>
      <c r="E48" s="62">
        <v>2300</v>
      </c>
      <c r="F48" s="62">
        <v>2300</v>
      </c>
      <c r="G48" s="42" t="s">
        <v>144</v>
      </c>
      <c r="H48" s="42" t="s">
        <v>126</v>
      </c>
    </row>
    <row r="52" spans="5:5" ht="248.4" x14ac:dyDescent="0.25">
      <c r="E52" s="24" t="s">
        <v>153</v>
      </c>
    </row>
    <row r="53" spans="5:5" x14ac:dyDescent="0.25">
      <c r="E53" s="16" t="s">
        <v>146</v>
      </c>
    </row>
    <row r="54" spans="5:5" x14ac:dyDescent="0.25">
      <c r="E54" s="16" t="s">
        <v>177</v>
      </c>
    </row>
  </sheetData>
  <mergeCells count="2">
    <mergeCell ref="A4:B4"/>
    <mergeCell ref="A34:B34"/>
  </mergeCells>
  <pageMargins left="0.7" right="0.7" top="0.75" bottom="0.75" header="0.3" footer="0.3"/>
</worksheet>
</file>

<file path=xl/worksheets/sheet1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F25CC7D-9D90-4107-AC0A-2632098309BC}">
  <dimension ref="A1:H50"/>
  <sheetViews>
    <sheetView workbookViewId="0">
      <selection activeCell="B9" sqref="B9"/>
    </sheetView>
  </sheetViews>
  <sheetFormatPr defaultRowHeight="14.4" x14ac:dyDescent="0.3"/>
  <cols>
    <col min="1" max="1" width="23" bestFit="1" customWidth="1"/>
    <col min="2" max="2" width="20.44140625" bestFit="1" customWidth="1"/>
    <col min="3" max="3" width="17.88671875" customWidth="1"/>
  </cols>
  <sheetData>
    <row r="1" spans="1:8" ht="15" x14ac:dyDescent="0.3">
      <c r="A1" s="18" t="s">
        <v>92</v>
      </c>
      <c r="B1" s="18" t="s">
        <v>178</v>
      </c>
      <c r="C1" s="18" t="s">
        <v>94</v>
      </c>
      <c r="F1" s="18"/>
      <c r="G1" s="18"/>
      <c r="H1" s="18"/>
    </row>
    <row r="2" spans="1:8" x14ac:dyDescent="0.3">
      <c r="A2" s="19" t="s">
        <v>35</v>
      </c>
      <c r="B2" s="16">
        <v>499</v>
      </c>
      <c r="C2" s="16" t="s">
        <v>95</v>
      </c>
      <c r="F2" s="19"/>
      <c r="G2" s="16"/>
      <c r="H2" s="16"/>
    </row>
    <row r="3" spans="1:8" x14ac:dyDescent="0.3">
      <c r="A3" s="19" t="s">
        <v>37</v>
      </c>
      <c r="B3" s="16">
        <v>13</v>
      </c>
      <c r="C3" s="16" t="s">
        <v>97</v>
      </c>
      <c r="F3" s="19"/>
      <c r="G3" s="16"/>
      <c r="H3" s="16"/>
    </row>
    <row r="4" spans="1:8" x14ac:dyDescent="0.3">
      <c r="A4" s="19" t="s">
        <v>39</v>
      </c>
      <c r="B4" s="16">
        <v>26.9</v>
      </c>
      <c r="C4" s="16" t="s">
        <v>97</v>
      </c>
      <c r="F4" s="19"/>
      <c r="G4" s="16"/>
      <c r="H4" s="16"/>
    </row>
    <row r="5" spans="1:8" x14ac:dyDescent="0.3">
      <c r="A5" s="19" t="s">
        <v>44</v>
      </c>
      <c r="B5" s="16">
        <v>3.41</v>
      </c>
      <c r="C5" s="16" t="s">
        <v>97</v>
      </c>
      <c r="F5" s="19"/>
      <c r="G5" s="16"/>
      <c r="H5" s="16"/>
    </row>
    <row r="6" spans="1:8" x14ac:dyDescent="0.3">
      <c r="A6" s="19" t="s">
        <v>46</v>
      </c>
      <c r="B6" s="116">
        <v>0.33</v>
      </c>
      <c r="C6" s="16" t="s">
        <v>97</v>
      </c>
      <c r="F6" s="19"/>
      <c r="G6" s="16"/>
      <c r="H6" s="16"/>
    </row>
    <row r="7" spans="1:8" x14ac:dyDescent="0.3">
      <c r="A7" s="19" t="s">
        <v>48</v>
      </c>
      <c r="B7" s="16">
        <v>120</v>
      </c>
      <c r="C7" s="16" t="s">
        <v>26</v>
      </c>
      <c r="F7" s="19"/>
      <c r="G7" s="16"/>
      <c r="H7" s="16"/>
    </row>
    <row r="8" spans="1:8" x14ac:dyDescent="0.3">
      <c r="A8" s="19" t="s">
        <v>50</v>
      </c>
      <c r="B8" s="16">
        <v>120</v>
      </c>
      <c r="C8" s="16" t="s">
        <v>26</v>
      </c>
      <c r="F8" s="19"/>
      <c r="G8" s="16"/>
      <c r="H8" s="16"/>
    </row>
    <row r="9" spans="1:8" x14ac:dyDescent="0.3">
      <c r="A9" s="19" t="s">
        <v>52</v>
      </c>
      <c r="B9" s="16">
        <v>49.7</v>
      </c>
      <c r="C9" s="16" t="s">
        <v>97</v>
      </c>
      <c r="F9" s="19"/>
      <c r="G9" s="16"/>
      <c r="H9" s="16"/>
    </row>
    <row r="10" spans="1:8" x14ac:dyDescent="0.3">
      <c r="A10" s="19" t="s">
        <v>54</v>
      </c>
      <c r="B10" s="16">
        <v>2.8</v>
      </c>
      <c r="C10" s="16" t="s">
        <v>97</v>
      </c>
      <c r="F10" s="19"/>
      <c r="G10" s="16"/>
      <c r="H10" s="16"/>
    </row>
    <row r="11" spans="1:8" x14ac:dyDescent="0.3">
      <c r="A11" s="16" t="s">
        <v>56</v>
      </c>
      <c r="B11" s="175" t="s">
        <v>179</v>
      </c>
      <c r="C11" s="16"/>
      <c r="F11" s="19"/>
      <c r="G11" s="16"/>
      <c r="H11" s="16"/>
    </row>
    <row r="12" spans="1:8" x14ac:dyDescent="0.3">
      <c r="A12" s="19" t="s">
        <v>41</v>
      </c>
      <c r="B12" s="16">
        <v>4.66</v>
      </c>
      <c r="C12" s="16" t="s">
        <v>97</v>
      </c>
      <c r="F12" s="19"/>
      <c r="G12" s="16"/>
      <c r="H12" s="16"/>
    </row>
    <row r="13" spans="1:8" x14ac:dyDescent="0.3">
      <c r="A13" s="16"/>
      <c r="B13" s="16"/>
      <c r="C13" s="16"/>
      <c r="F13" s="16"/>
      <c r="G13" s="16"/>
      <c r="H13" s="16"/>
    </row>
    <row r="14" spans="1:8" ht="15" x14ac:dyDescent="0.3">
      <c r="A14" s="20" t="s">
        <v>99</v>
      </c>
      <c r="B14" s="20"/>
      <c r="C14" s="20"/>
      <c r="F14" s="19"/>
      <c r="G14" s="16"/>
      <c r="H14" s="16"/>
    </row>
    <row r="15" spans="1:8" x14ac:dyDescent="0.3">
      <c r="A15" s="16" t="s">
        <v>7</v>
      </c>
      <c r="B15" s="16">
        <v>439</v>
      </c>
      <c r="C15" s="16" t="s">
        <v>101</v>
      </c>
      <c r="F15" s="16"/>
      <c r="G15" s="16"/>
      <c r="H15" s="16"/>
    </row>
    <row r="16" spans="1:8" ht="15" x14ac:dyDescent="0.3">
      <c r="A16" s="16" t="s">
        <v>8</v>
      </c>
      <c r="B16" s="16">
        <v>12</v>
      </c>
      <c r="C16" s="16" t="s">
        <v>101</v>
      </c>
      <c r="F16" s="20"/>
      <c r="G16" s="20"/>
      <c r="H16" s="20"/>
    </row>
    <row r="17" spans="1:8" x14ac:dyDescent="0.3">
      <c r="A17" s="16" t="s">
        <v>9</v>
      </c>
      <c r="B17" s="16">
        <v>10.5</v>
      </c>
      <c r="C17" s="16" t="s">
        <v>180</v>
      </c>
      <c r="F17" s="16"/>
      <c r="G17" s="16"/>
      <c r="H17" s="16"/>
    </row>
    <row r="18" spans="1:8" x14ac:dyDescent="0.3">
      <c r="A18" s="16" t="s">
        <v>10</v>
      </c>
      <c r="B18" s="16">
        <v>35.299999999999997</v>
      </c>
      <c r="C18" s="16" t="s">
        <v>101</v>
      </c>
      <c r="F18" s="16"/>
      <c r="G18" s="16"/>
      <c r="H18" s="16"/>
    </row>
    <row r="19" spans="1:8" x14ac:dyDescent="0.3">
      <c r="A19" s="16" t="s">
        <v>103</v>
      </c>
      <c r="B19" s="16">
        <v>0.75</v>
      </c>
      <c r="C19" s="16" t="s">
        <v>26</v>
      </c>
      <c r="F19" s="16"/>
      <c r="G19" s="16"/>
      <c r="H19" s="16"/>
    </row>
    <row r="20" spans="1:8" x14ac:dyDescent="0.3">
      <c r="A20" s="16" t="s">
        <v>104</v>
      </c>
      <c r="B20" s="16">
        <v>1</v>
      </c>
      <c r="C20" s="16" t="s">
        <v>26</v>
      </c>
      <c r="F20" s="16"/>
      <c r="G20" s="16"/>
      <c r="H20" s="16"/>
    </row>
    <row r="21" spans="1:8" x14ac:dyDescent="0.3">
      <c r="A21" s="16" t="s">
        <v>14</v>
      </c>
      <c r="B21" s="16">
        <v>0.55000000000000004</v>
      </c>
      <c r="C21" s="16" t="s">
        <v>26</v>
      </c>
      <c r="F21" s="16"/>
      <c r="G21" s="16"/>
      <c r="H21" s="16"/>
    </row>
    <row r="22" spans="1:8" x14ac:dyDescent="0.3">
      <c r="A22" s="16" t="s">
        <v>15</v>
      </c>
      <c r="B22" s="16">
        <v>1.5</v>
      </c>
      <c r="C22" s="16" t="s">
        <v>101</v>
      </c>
      <c r="F22" s="16"/>
      <c r="G22" s="16"/>
      <c r="H22" s="16"/>
    </row>
    <row r="23" spans="1:8" x14ac:dyDescent="0.3">
      <c r="A23" s="16" t="s">
        <v>105</v>
      </c>
      <c r="B23" s="16">
        <v>9.34</v>
      </c>
      <c r="C23" s="16" t="s">
        <v>106</v>
      </c>
      <c r="F23" s="16"/>
      <c r="G23" s="16"/>
      <c r="H23" s="16"/>
    </row>
    <row r="24" spans="1:8" x14ac:dyDescent="0.3">
      <c r="A24" s="16" t="s">
        <v>107</v>
      </c>
      <c r="B24" s="16">
        <v>79.8</v>
      </c>
      <c r="C24" s="16" t="s">
        <v>101</v>
      </c>
      <c r="F24" s="16"/>
      <c r="G24" s="16"/>
      <c r="H24" s="16"/>
    </row>
    <row r="25" spans="1:8" x14ac:dyDescent="0.3">
      <c r="A25" s="16" t="s">
        <v>181</v>
      </c>
      <c r="B25" s="16">
        <v>133</v>
      </c>
      <c r="C25" s="16" t="s">
        <v>101</v>
      </c>
      <c r="F25" s="16"/>
      <c r="G25" s="16"/>
      <c r="H25" s="16"/>
    </row>
    <row r="26" spans="1:8" x14ac:dyDescent="0.3">
      <c r="A26" s="16" t="s">
        <v>108</v>
      </c>
      <c r="B26" s="16">
        <v>3.97</v>
      </c>
      <c r="C26" s="16" t="s">
        <v>26</v>
      </c>
      <c r="F26" s="16"/>
      <c r="G26" s="16"/>
      <c r="H26" s="16"/>
    </row>
    <row r="27" spans="1:8" x14ac:dyDescent="0.3">
      <c r="A27" s="16" t="s">
        <v>109</v>
      </c>
      <c r="B27" s="16">
        <v>19</v>
      </c>
      <c r="C27" s="16" t="s">
        <v>101</v>
      </c>
      <c r="F27" s="16"/>
      <c r="G27" s="16"/>
      <c r="H27" s="16"/>
    </row>
    <row r="28" spans="1:8" x14ac:dyDescent="0.3">
      <c r="A28" s="16" t="s">
        <v>23</v>
      </c>
      <c r="B28" s="16">
        <v>69.2</v>
      </c>
      <c r="C28" s="16" t="s">
        <v>26</v>
      </c>
      <c r="F28" s="16"/>
      <c r="G28" s="16"/>
      <c r="H28" s="16"/>
    </row>
    <row r="29" spans="1:8" ht="16.5" customHeight="1" x14ac:dyDescent="0.3">
      <c r="A29" s="16" t="s">
        <v>25</v>
      </c>
      <c r="B29" s="16">
        <v>156</v>
      </c>
      <c r="C29" s="16" t="s">
        <v>26</v>
      </c>
      <c r="F29" s="16"/>
      <c r="G29" s="16"/>
      <c r="H29" s="16"/>
    </row>
    <row r="30" spans="1:8" ht="16.5" customHeight="1" x14ac:dyDescent="0.3">
      <c r="A30" s="16" t="s">
        <v>27</v>
      </c>
      <c r="B30" s="16">
        <v>124</v>
      </c>
      <c r="C30" s="16" t="s">
        <v>26</v>
      </c>
      <c r="F30" s="16"/>
      <c r="G30" s="16"/>
      <c r="H30" s="16"/>
    </row>
    <row r="31" spans="1:8" x14ac:dyDescent="0.3">
      <c r="A31" s="16"/>
      <c r="B31" s="16"/>
      <c r="C31" s="16"/>
      <c r="F31" s="16"/>
      <c r="G31" s="16"/>
      <c r="H31" s="16"/>
    </row>
    <row r="32" spans="1:8" ht="16.5" customHeight="1" x14ac:dyDescent="0.3">
      <c r="A32" s="21" t="s">
        <v>112</v>
      </c>
      <c r="B32" s="22"/>
      <c r="C32" s="22"/>
      <c r="F32" s="16"/>
      <c r="G32" s="16"/>
      <c r="H32" s="16"/>
    </row>
    <row r="33" spans="1:8" x14ac:dyDescent="0.3">
      <c r="A33" s="16" t="s">
        <v>32</v>
      </c>
      <c r="B33" s="16">
        <v>497</v>
      </c>
      <c r="C33" s="16" t="s">
        <v>26</v>
      </c>
      <c r="F33" s="16"/>
      <c r="G33" s="16"/>
      <c r="H33" s="16"/>
    </row>
    <row r="34" spans="1:8" x14ac:dyDescent="0.3">
      <c r="A34" s="16" t="s">
        <v>34</v>
      </c>
      <c r="B34" s="16">
        <v>268</v>
      </c>
      <c r="C34" s="16" t="s">
        <v>26</v>
      </c>
      <c r="F34" s="16"/>
      <c r="G34" s="16"/>
      <c r="H34" s="16"/>
    </row>
    <row r="35" spans="1:8" ht="15.6" x14ac:dyDescent="0.3">
      <c r="A35" s="16" t="s">
        <v>36</v>
      </c>
      <c r="B35" s="16">
        <v>44.9</v>
      </c>
      <c r="C35" s="16" t="s">
        <v>26</v>
      </c>
      <c r="F35" s="21"/>
      <c r="G35" s="22"/>
      <c r="H35" s="22"/>
    </row>
    <row r="36" spans="1:8" x14ac:dyDescent="0.3">
      <c r="A36" s="16" t="s">
        <v>38</v>
      </c>
      <c r="B36" s="16">
        <v>5.97</v>
      </c>
      <c r="C36" s="16" t="s">
        <v>26</v>
      </c>
      <c r="F36" s="16"/>
      <c r="G36" s="16"/>
      <c r="H36" s="16"/>
    </row>
    <row r="37" spans="1:8" x14ac:dyDescent="0.3">
      <c r="A37" s="16" t="s">
        <v>40</v>
      </c>
      <c r="B37" s="16">
        <v>3.98</v>
      </c>
      <c r="C37" s="16" t="s">
        <v>26</v>
      </c>
      <c r="F37" s="16"/>
      <c r="G37" s="16"/>
      <c r="H37" s="16"/>
    </row>
    <row r="38" spans="1:8" x14ac:dyDescent="0.3">
      <c r="A38" s="16" t="s">
        <v>42</v>
      </c>
      <c r="B38" s="16">
        <v>0.05</v>
      </c>
      <c r="C38" s="16" t="s">
        <v>26</v>
      </c>
      <c r="F38" s="16"/>
      <c r="G38" s="16"/>
      <c r="H38" s="16"/>
    </row>
    <row r="39" spans="1:8" x14ac:dyDescent="0.3">
      <c r="A39" s="16" t="s">
        <v>45</v>
      </c>
      <c r="B39" s="115">
        <v>0.37</v>
      </c>
      <c r="C39" s="16" t="s">
        <v>26</v>
      </c>
      <c r="F39" s="16"/>
      <c r="G39" s="16"/>
      <c r="H39" s="16"/>
    </row>
    <row r="40" spans="1:8" x14ac:dyDescent="0.3">
      <c r="A40" s="16" t="s">
        <v>47</v>
      </c>
      <c r="B40" s="16">
        <v>94.3</v>
      </c>
      <c r="C40" s="16" t="s">
        <v>101</v>
      </c>
      <c r="F40" s="16"/>
      <c r="G40" s="16"/>
      <c r="H40" s="16"/>
    </row>
    <row r="41" spans="1:8" x14ac:dyDescent="0.3">
      <c r="A41" s="16" t="s">
        <v>49</v>
      </c>
      <c r="B41" s="16">
        <v>15.8</v>
      </c>
      <c r="C41" s="16" t="s">
        <v>101</v>
      </c>
      <c r="F41" s="16"/>
      <c r="G41" s="16"/>
      <c r="H41" s="16"/>
    </row>
    <row r="42" spans="1:8" x14ac:dyDescent="0.3">
      <c r="A42" s="16" t="s">
        <v>51</v>
      </c>
      <c r="B42" s="16">
        <v>7.48</v>
      </c>
      <c r="C42" s="16" t="s">
        <v>101</v>
      </c>
      <c r="F42" s="16"/>
      <c r="G42" s="16"/>
      <c r="H42" s="16"/>
    </row>
    <row r="43" spans="1:8" x14ac:dyDescent="0.3">
      <c r="A43" s="16" t="s">
        <v>53</v>
      </c>
      <c r="B43" s="16">
        <v>18.7</v>
      </c>
      <c r="C43" s="16" t="s">
        <v>101</v>
      </c>
      <c r="F43" s="16"/>
      <c r="G43" s="16"/>
      <c r="H43" s="16"/>
    </row>
    <row r="44" spans="1:8" x14ac:dyDescent="0.3">
      <c r="A44" s="16" t="s">
        <v>55</v>
      </c>
      <c r="B44" s="16">
        <v>185</v>
      </c>
      <c r="C44" s="16" t="s">
        <v>26</v>
      </c>
      <c r="F44" s="16"/>
      <c r="G44" s="16"/>
      <c r="H44" s="16"/>
    </row>
    <row r="45" spans="1:8" x14ac:dyDescent="0.3">
      <c r="A45" s="16" t="s">
        <v>57</v>
      </c>
      <c r="B45" s="16">
        <v>499</v>
      </c>
      <c r="C45" s="16" t="s">
        <v>26</v>
      </c>
      <c r="F45" s="16"/>
      <c r="G45" s="16"/>
      <c r="H45" s="16"/>
    </row>
    <row r="46" spans="1:8" x14ac:dyDescent="0.3">
      <c r="A46" s="16" t="s">
        <v>60</v>
      </c>
      <c r="B46" s="16">
        <v>374</v>
      </c>
      <c r="C46" s="16" t="s">
        <v>26</v>
      </c>
      <c r="F46" s="16"/>
      <c r="G46" s="16"/>
      <c r="H46" s="16"/>
    </row>
    <row r="47" spans="1:8" x14ac:dyDescent="0.3">
      <c r="A47" s="16"/>
      <c r="B47" s="16"/>
      <c r="C47" s="16"/>
      <c r="F47" s="16"/>
      <c r="G47" s="16"/>
      <c r="H47" s="16"/>
    </row>
    <row r="48" spans="1:8" x14ac:dyDescent="0.3">
      <c r="A48" s="119" t="s">
        <v>182</v>
      </c>
      <c r="B48" s="120"/>
      <c r="C48" s="120"/>
      <c r="F48" s="16"/>
      <c r="G48" s="16"/>
      <c r="H48" s="16"/>
    </row>
    <row r="49" spans="1:8" x14ac:dyDescent="0.3">
      <c r="A49" s="16" t="s">
        <v>183</v>
      </c>
      <c r="B49" s="16">
        <v>10</v>
      </c>
      <c r="F49" s="16"/>
      <c r="G49" s="16"/>
      <c r="H49" s="16"/>
    </row>
    <row r="50" spans="1:8" x14ac:dyDescent="0.3">
      <c r="A50" s="16"/>
    </row>
  </sheetData>
  <pageMargins left="0.7" right="0.7" top="0.75" bottom="0.75" header="0.3" footer="0.3"/>
  <pageSetup paperSize="9" orientation="portrait" r:id="rId1"/>
  <legacyDrawing r:id="rId2"/>
</worksheet>
</file>

<file path=xl/worksheets/sheet1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4632635-E004-42E2-B533-64B6C4F30AB1}">
  <dimension ref="A1:H54"/>
  <sheetViews>
    <sheetView topLeftCell="A31" workbookViewId="0">
      <selection activeCell="B9" sqref="B9"/>
    </sheetView>
  </sheetViews>
  <sheetFormatPr defaultRowHeight="14.4" x14ac:dyDescent="0.3"/>
  <cols>
    <col min="1" max="1" width="23" bestFit="1" customWidth="1"/>
    <col min="2" max="2" width="17.88671875" bestFit="1" customWidth="1"/>
    <col min="3" max="3" width="17.88671875" customWidth="1"/>
  </cols>
  <sheetData>
    <row r="1" spans="1:3" ht="15" x14ac:dyDescent="0.3">
      <c r="A1" s="18" t="s">
        <v>92</v>
      </c>
      <c r="B1" s="18" t="s">
        <v>184</v>
      </c>
      <c r="C1" s="18" t="s">
        <v>94</v>
      </c>
    </row>
    <row r="2" spans="1:3" x14ac:dyDescent="0.3">
      <c r="A2" s="19" t="s">
        <v>35</v>
      </c>
      <c r="B2" s="16">
        <v>100</v>
      </c>
      <c r="C2" s="16" t="s">
        <v>95</v>
      </c>
    </row>
    <row r="3" spans="1:3" x14ac:dyDescent="0.3">
      <c r="A3" s="19" t="s">
        <v>37</v>
      </c>
      <c r="B3" s="16">
        <v>2.6</v>
      </c>
      <c r="C3" s="16" t="s">
        <v>97</v>
      </c>
    </row>
    <row r="4" spans="1:3" x14ac:dyDescent="0.3">
      <c r="A4" s="19" t="s">
        <v>39</v>
      </c>
      <c r="B4" s="16">
        <v>5.3</v>
      </c>
      <c r="C4" s="16" t="s">
        <v>97</v>
      </c>
    </row>
    <row r="5" spans="1:3" x14ac:dyDescent="0.3">
      <c r="A5" s="19" t="s">
        <v>41</v>
      </c>
      <c r="B5" s="16">
        <v>1.5</v>
      </c>
      <c r="C5" s="16" t="s">
        <v>97</v>
      </c>
    </row>
    <row r="6" spans="1:3" x14ac:dyDescent="0.3">
      <c r="A6" s="19" t="s">
        <v>44</v>
      </c>
      <c r="B6" s="16">
        <v>0.7</v>
      </c>
      <c r="C6" s="16" t="s">
        <v>97</v>
      </c>
    </row>
    <row r="7" spans="1:3" x14ac:dyDescent="0.3">
      <c r="A7" s="19" t="s">
        <v>46</v>
      </c>
      <c r="B7" s="115">
        <v>7.0000000000000007E-2</v>
      </c>
      <c r="C7" s="16" t="s">
        <v>97</v>
      </c>
    </row>
    <row r="8" spans="1:3" x14ac:dyDescent="0.3">
      <c r="A8" s="19" t="s">
        <v>48</v>
      </c>
      <c r="B8" s="16">
        <v>25.2</v>
      </c>
      <c r="C8" s="16" t="s">
        <v>26</v>
      </c>
    </row>
    <row r="9" spans="1:3" x14ac:dyDescent="0.3">
      <c r="A9" s="19" t="s">
        <v>50</v>
      </c>
      <c r="B9" s="16">
        <v>25.3</v>
      </c>
      <c r="C9" s="16" t="s">
        <v>26</v>
      </c>
    </row>
    <row r="10" spans="1:3" x14ac:dyDescent="0.3">
      <c r="A10" s="19" t="s">
        <v>52</v>
      </c>
      <c r="B10" s="16">
        <v>10.199999999999999</v>
      </c>
      <c r="C10" s="16" t="s">
        <v>97</v>
      </c>
    </row>
    <row r="11" spans="1:3" x14ac:dyDescent="0.3">
      <c r="A11" s="19" t="s">
        <v>54</v>
      </c>
      <c r="B11" s="16">
        <v>0.56999999999999995</v>
      </c>
      <c r="C11" s="16" t="s">
        <v>97</v>
      </c>
    </row>
    <row r="12" spans="1:3" x14ac:dyDescent="0.3">
      <c r="A12" s="168" t="s">
        <v>58</v>
      </c>
      <c r="B12" s="16">
        <v>305</v>
      </c>
      <c r="C12" s="16" t="s">
        <v>59</v>
      </c>
    </row>
    <row r="13" spans="1:3" x14ac:dyDescent="0.3">
      <c r="A13" s="19"/>
      <c r="B13" s="16"/>
      <c r="C13" s="16"/>
    </row>
    <row r="14" spans="1:3" x14ac:dyDescent="0.3">
      <c r="A14" s="16"/>
      <c r="B14" s="16"/>
      <c r="C14" s="16"/>
    </row>
    <row r="15" spans="1:3" ht="15" x14ac:dyDescent="0.3">
      <c r="A15" s="20" t="s">
        <v>99</v>
      </c>
      <c r="B15" s="20"/>
      <c r="C15" s="20"/>
    </row>
    <row r="16" spans="1:3" x14ac:dyDescent="0.3">
      <c r="A16" s="16" t="s">
        <v>7</v>
      </c>
      <c r="B16" s="16">
        <v>88</v>
      </c>
      <c r="C16" s="16" t="s">
        <v>101</v>
      </c>
    </row>
    <row r="17" spans="1:8" x14ac:dyDescent="0.3">
      <c r="A17" s="16" t="s">
        <v>8</v>
      </c>
      <c r="B17" s="16">
        <v>2.4</v>
      </c>
      <c r="C17" s="16" t="s">
        <v>101</v>
      </c>
    </row>
    <row r="18" spans="1:8" x14ac:dyDescent="0.3">
      <c r="A18" s="16" t="s">
        <v>9</v>
      </c>
      <c r="B18" s="16">
        <v>2.1</v>
      </c>
      <c r="C18" s="16" t="s">
        <v>180</v>
      </c>
    </row>
    <row r="19" spans="1:8" x14ac:dyDescent="0.3">
      <c r="A19" s="16" t="s">
        <v>10</v>
      </c>
      <c r="B19" s="16">
        <v>6.7</v>
      </c>
      <c r="C19" s="16" t="s">
        <v>101</v>
      </c>
    </row>
    <row r="20" spans="1:8" x14ac:dyDescent="0.3">
      <c r="A20" s="16" t="s">
        <v>103</v>
      </c>
      <c r="B20" s="16">
        <v>0.15</v>
      </c>
      <c r="C20" s="16" t="s">
        <v>26</v>
      </c>
    </row>
    <row r="21" spans="1:8" x14ac:dyDescent="0.3">
      <c r="A21" s="16" t="s">
        <v>104</v>
      </c>
      <c r="B21" s="16">
        <v>0.2</v>
      </c>
      <c r="C21" s="16" t="s">
        <v>26</v>
      </c>
    </row>
    <row r="22" spans="1:8" x14ac:dyDescent="0.3">
      <c r="A22" s="16" t="s">
        <v>14</v>
      </c>
      <c r="B22" s="16">
        <v>0.11</v>
      </c>
      <c r="C22" s="16" t="s">
        <v>26</v>
      </c>
    </row>
    <row r="23" spans="1:8" x14ac:dyDescent="0.3">
      <c r="A23" s="16" t="s">
        <v>15</v>
      </c>
      <c r="B23" s="16">
        <v>0.3</v>
      </c>
      <c r="C23" s="16" t="s">
        <v>101</v>
      </c>
    </row>
    <row r="24" spans="1:8" x14ac:dyDescent="0.3">
      <c r="A24" s="16" t="s">
        <v>105</v>
      </c>
      <c r="B24" s="16">
        <v>1.47</v>
      </c>
      <c r="C24" s="16" t="s">
        <v>106</v>
      </c>
    </row>
    <row r="25" spans="1:8" x14ac:dyDescent="0.3">
      <c r="A25" s="16" t="s">
        <v>107</v>
      </c>
      <c r="B25" s="16">
        <v>16</v>
      </c>
      <c r="C25" s="16" t="s">
        <v>101</v>
      </c>
    </row>
    <row r="26" spans="1:8" x14ac:dyDescent="0.3">
      <c r="A26" s="16" t="s">
        <v>181</v>
      </c>
      <c r="B26" s="16">
        <v>26.7</v>
      </c>
      <c r="C26" s="16" t="s">
        <v>101</v>
      </c>
    </row>
    <row r="27" spans="1:8" x14ac:dyDescent="0.3">
      <c r="A27" s="16" t="s">
        <v>108</v>
      </c>
      <c r="B27" s="16">
        <v>0.8</v>
      </c>
      <c r="C27" s="16" t="s">
        <v>26</v>
      </c>
    </row>
    <row r="28" spans="1:8" x14ac:dyDescent="0.3">
      <c r="A28" s="16" t="s">
        <v>109</v>
      </c>
      <c r="B28" s="16">
        <v>4</v>
      </c>
      <c r="C28" s="16" t="s">
        <v>101</v>
      </c>
    </row>
    <row r="29" spans="1:8" x14ac:dyDescent="0.3">
      <c r="A29" s="16" t="s">
        <v>23</v>
      </c>
      <c r="B29" s="16">
        <v>14</v>
      </c>
      <c r="C29" s="16" t="s">
        <v>26</v>
      </c>
    </row>
    <row r="30" spans="1:8" ht="16.5" customHeight="1" x14ac:dyDescent="0.3">
      <c r="A30" s="16" t="s">
        <v>25</v>
      </c>
      <c r="B30" s="16">
        <v>31.1</v>
      </c>
      <c r="C30" s="16" t="s">
        <v>26</v>
      </c>
      <c r="F30" s="16"/>
      <c r="G30" s="16"/>
      <c r="H30" s="16"/>
    </row>
    <row r="31" spans="1:8" ht="16.5" customHeight="1" x14ac:dyDescent="0.3">
      <c r="A31" s="16" t="s">
        <v>27</v>
      </c>
      <c r="B31" s="16">
        <v>25</v>
      </c>
      <c r="C31" s="16" t="s">
        <v>26</v>
      </c>
      <c r="F31" s="16"/>
      <c r="G31" s="16"/>
      <c r="H31" s="16"/>
    </row>
    <row r="32" spans="1:8" x14ac:dyDescent="0.3">
      <c r="A32" s="16"/>
      <c r="B32" s="16"/>
      <c r="C32" s="16"/>
    </row>
    <row r="33" spans="1:8" ht="15.6" x14ac:dyDescent="0.3">
      <c r="A33" s="21" t="s">
        <v>112</v>
      </c>
      <c r="B33" s="22"/>
      <c r="C33" s="22"/>
    </row>
    <row r="34" spans="1:8" x14ac:dyDescent="0.3">
      <c r="A34" s="16" t="s">
        <v>32</v>
      </c>
      <c r="B34" s="16">
        <v>100</v>
      </c>
      <c r="C34" s="16" t="s">
        <v>26</v>
      </c>
    </row>
    <row r="35" spans="1:8" x14ac:dyDescent="0.3">
      <c r="A35" s="16" t="s">
        <v>34</v>
      </c>
      <c r="B35" s="16">
        <v>50</v>
      </c>
      <c r="C35" s="16" t="s">
        <v>26</v>
      </c>
    </row>
    <row r="36" spans="1:8" x14ac:dyDescent="0.3">
      <c r="A36" s="16" t="s">
        <v>36</v>
      </c>
      <c r="B36" s="16">
        <v>9</v>
      </c>
      <c r="C36" s="16" t="s">
        <v>26</v>
      </c>
    </row>
    <row r="37" spans="1:8" x14ac:dyDescent="0.3">
      <c r="A37" s="16" t="s">
        <v>38</v>
      </c>
      <c r="B37" s="16">
        <v>1.2</v>
      </c>
      <c r="C37" s="16" t="s">
        <v>26</v>
      </c>
    </row>
    <row r="38" spans="1:8" x14ac:dyDescent="0.3">
      <c r="A38" s="16" t="s">
        <v>40</v>
      </c>
      <c r="B38" s="16">
        <v>0.8</v>
      </c>
      <c r="C38" s="16" t="s">
        <v>26</v>
      </c>
    </row>
    <row r="39" spans="1:8" x14ac:dyDescent="0.3">
      <c r="A39" s="16" t="s">
        <v>42</v>
      </c>
      <c r="B39" s="16">
        <v>6.0000000000000001E-3</v>
      </c>
      <c r="C39" s="16" t="s">
        <v>26</v>
      </c>
    </row>
    <row r="40" spans="1:8" x14ac:dyDescent="0.3">
      <c r="A40" s="16" t="s">
        <v>45</v>
      </c>
      <c r="B40" s="116">
        <v>7.4999999999999997E-2</v>
      </c>
      <c r="C40" s="16" t="s">
        <v>26</v>
      </c>
    </row>
    <row r="41" spans="1:8" x14ac:dyDescent="0.3">
      <c r="A41" s="16" t="s">
        <v>47</v>
      </c>
      <c r="B41" s="16">
        <v>19</v>
      </c>
      <c r="C41" s="16" t="s">
        <v>101</v>
      </c>
    </row>
    <row r="42" spans="1:8" x14ac:dyDescent="0.3">
      <c r="A42" s="16" t="s">
        <v>49</v>
      </c>
      <c r="B42" s="122" t="s">
        <v>185</v>
      </c>
      <c r="C42" s="16" t="s">
        <v>101</v>
      </c>
    </row>
    <row r="43" spans="1:8" x14ac:dyDescent="0.3">
      <c r="A43" s="16" t="s">
        <v>51</v>
      </c>
      <c r="B43" s="122" t="s">
        <v>185</v>
      </c>
      <c r="C43" s="16" t="s">
        <v>101</v>
      </c>
    </row>
    <row r="44" spans="1:8" x14ac:dyDescent="0.3">
      <c r="A44" s="16" t="s">
        <v>53</v>
      </c>
      <c r="B44" s="16">
        <v>3.75</v>
      </c>
      <c r="C44" s="16" t="s">
        <v>101</v>
      </c>
    </row>
    <row r="45" spans="1:8" x14ac:dyDescent="0.3">
      <c r="A45" s="16" t="s">
        <v>55</v>
      </c>
      <c r="B45" s="16">
        <v>37</v>
      </c>
      <c r="C45" s="16" t="s">
        <v>26</v>
      </c>
    </row>
    <row r="46" spans="1:8" x14ac:dyDescent="0.3">
      <c r="A46" s="16" t="s">
        <v>57</v>
      </c>
      <c r="B46" s="16">
        <v>111</v>
      </c>
      <c r="C46" s="16" t="s">
        <v>26</v>
      </c>
    </row>
    <row r="47" spans="1:8" x14ac:dyDescent="0.3">
      <c r="A47" s="16" t="s">
        <v>60</v>
      </c>
      <c r="B47" s="16">
        <v>75</v>
      </c>
      <c r="C47" s="16" t="s">
        <v>26</v>
      </c>
    </row>
    <row r="48" spans="1:8" x14ac:dyDescent="0.3">
      <c r="A48" s="16"/>
      <c r="B48" s="16"/>
      <c r="C48" s="16"/>
      <c r="F48" s="16"/>
      <c r="G48" s="16"/>
      <c r="H48" s="16"/>
    </row>
    <row r="49" spans="1:8" ht="16.5" customHeight="1" x14ac:dyDescent="0.3">
      <c r="A49" s="166" t="s">
        <v>186</v>
      </c>
      <c r="B49" s="167"/>
      <c r="C49" s="167"/>
      <c r="F49" s="16"/>
      <c r="G49" s="16"/>
      <c r="H49" s="16"/>
    </row>
    <row r="50" spans="1:8" ht="16.5" customHeight="1" x14ac:dyDescent="0.3">
      <c r="A50" s="101" t="s">
        <v>56</v>
      </c>
      <c r="B50" s="16">
        <v>85</v>
      </c>
      <c r="C50" s="16" t="s">
        <v>187</v>
      </c>
      <c r="F50" s="16"/>
      <c r="G50" s="16"/>
      <c r="H50" s="16"/>
    </row>
    <row r="51" spans="1:8" x14ac:dyDescent="0.3">
      <c r="F51" s="16"/>
      <c r="G51" s="16"/>
      <c r="H51" s="16"/>
    </row>
    <row r="52" spans="1:8" x14ac:dyDescent="0.3">
      <c r="A52" s="119" t="s">
        <v>182</v>
      </c>
      <c r="B52" s="120"/>
      <c r="C52" s="120"/>
    </row>
    <row r="53" spans="1:8" x14ac:dyDescent="0.3">
      <c r="A53" s="16" t="s">
        <v>183</v>
      </c>
      <c r="B53" s="16">
        <v>10</v>
      </c>
    </row>
    <row r="54" spans="1:8" x14ac:dyDescent="0.3">
      <c r="A54" s="16"/>
    </row>
  </sheetData>
  <pageMargins left="0.7" right="0.7" top="0.75" bottom="0.75" header="0.3" footer="0.3"/>
  <pageSetup paperSize="9" orientation="portrait" r:id="rId1"/>
  <legacyDrawing r:id="rId2"/>
</worksheet>
</file>

<file path=xl/worksheets/sheet1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3913B55-A26A-409D-8CA0-AB2323614097}">
  <dimension ref="A1:H54"/>
  <sheetViews>
    <sheetView topLeftCell="A31" workbookViewId="0">
      <selection activeCell="B9" sqref="B9"/>
    </sheetView>
  </sheetViews>
  <sheetFormatPr defaultRowHeight="14.4" x14ac:dyDescent="0.3"/>
  <cols>
    <col min="1" max="1" width="23" bestFit="1" customWidth="1"/>
    <col min="2" max="2" width="17.88671875" bestFit="1" customWidth="1"/>
    <col min="3" max="3" width="10.33203125" bestFit="1" customWidth="1"/>
  </cols>
  <sheetData>
    <row r="1" spans="1:3" ht="15" x14ac:dyDescent="0.3">
      <c r="A1" s="18" t="s">
        <v>92</v>
      </c>
      <c r="B1" s="18" t="s">
        <v>184</v>
      </c>
      <c r="C1" s="18" t="s">
        <v>94</v>
      </c>
    </row>
    <row r="2" spans="1:3" x14ac:dyDescent="0.3">
      <c r="A2" s="19" t="s">
        <v>35</v>
      </c>
      <c r="B2" s="16">
        <v>100</v>
      </c>
      <c r="C2" s="16" t="s">
        <v>95</v>
      </c>
    </row>
    <row r="3" spans="1:3" x14ac:dyDescent="0.3">
      <c r="A3" s="19" t="s">
        <v>37</v>
      </c>
      <c r="B3" s="16">
        <v>2.6</v>
      </c>
      <c r="C3" s="16" t="s">
        <v>97</v>
      </c>
    </row>
    <row r="4" spans="1:3" x14ac:dyDescent="0.3">
      <c r="A4" s="19" t="s">
        <v>39</v>
      </c>
      <c r="B4" s="16">
        <v>5.4</v>
      </c>
      <c r="C4" s="16" t="s">
        <v>97</v>
      </c>
    </row>
    <row r="5" spans="1:3" x14ac:dyDescent="0.3">
      <c r="A5" s="19" t="s">
        <v>41</v>
      </c>
      <c r="B5" s="16">
        <v>2.8</v>
      </c>
      <c r="C5" s="16" t="s">
        <v>97</v>
      </c>
    </row>
    <row r="6" spans="1:3" x14ac:dyDescent="0.3">
      <c r="A6" s="19" t="s">
        <v>44</v>
      </c>
      <c r="B6" s="16">
        <v>0.69</v>
      </c>
      <c r="C6" s="16" t="s">
        <v>97</v>
      </c>
    </row>
    <row r="7" spans="1:3" x14ac:dyDescent="0.3">
      <c r="A7" s="19" t="s">
        <v>46</v>
      </c>
      <c r="B7" s="115">
        <v>7.0000000000000007E-2</v>
      </c>
      <c r="C7" s="16" t="s">
        <v>97</v>
      </c>
    </row>
    <row r="8" spans="1:3" x14ac:dyDescent="0.3">
      <c r="A8" s="19" t="s">
        <v>48</v>
      </c>
      <c r="B8" s="16">
        <v>25</v>
      </c>
      <c r="C8" s="16" t="s">
        <v>26</v>
      </c>
    </row>
    <row r="9" spans="1:3" x14ac:dyDescent="0.3">
      <c r="A9" s="19" t="s">
        <v>50</v>
      </c>
      <c r="B9" s="16">
        <v>25.2</v>
      </c>
      <c r="C9" s="16" t="s">
        <v>26</v>
      </c>
    </row>
    <row r="10" spans="1:3" x14ac:dyDescent="0.3">
      <c r="A10" s="19" t="s">
        <v>52</v>
      </c>
      <c r="B10" s="16">
        <v>10.199999999999999</v>
      </c>
      <c r="C10" s="16" t="s">
        <v>97</v>
      </c>
    </row>
    <row r="11" spans="1:3" x14ac:dyDescent="0.3">
      <c r="A11" s="19" t="s">
        <v>54</v>
      </c>
      <c r="B11" s="16">
        <v>0</v>
      </c>
      <c r="C11" s="16" t="s">
        <v>97</v>
      </c>
    </row>
    <row r="12" spans="1:3" x14ac:dyDescent="0.3">
      <c r="A12" s="168" t="s">
        <v>58</v>
      </c>
      <c r="B12" s="16">
        <v>295</v>
      </c>
      <c r="C12" s="16" t="s">
        <v>59</v>
      </c>
    </row>
    <row r="13" spans="1:3" x14ac:dyDescent="0.3">
      <c r="A13" s="19"/>
      <c r="B13" s="16"/>
      <c r="C13" s="16"/>
    </row>
    <row r="14" spans="1:3" x14ac:dyDescent="0.3">
      <c r="A14" s="16"/>
      <c r="B14" s="16"/>
      <c r="C14" s="16"/>
    </row>
    <row r="15" spans="1:3" ht="15" x14ac:dyDescent="0.3">
      <c r="A15" s="20" t="s">
        <v>99</v>
      </c>
      <c r="B15" s="20"/>
      <c r="C15" s="20"/>
    </row>
    <row r="16" spans="1:3" x14ac:dyDescent="0.3">
      <c r="A16" s="16" t="s">
        <v>7</v>
      </c>
      <c r="B16" s="16">
        <v>88</v>
      </c>
      <c r="C16" s="16" t="s">
        <v>101</v>
      </c>
    </row>
    <row r="17" spans="1:8" x14ac:dyDescent="0.3">
      <c r="A17" s="16" t="s">
        <v>8</v>
      </c>
      <c r="B17" s="16">
        <v>2.4</v>
      </c>
      <c r="C17" s="16" t="s">
        <v>101</v>
      </c>
    </row>
    <row r="18" spans="1:8" x14ac:dyDescent="0.3">
      <c r="A18" s="16" t="s">
        <v>9</v>
      </c>
      <c r="B18" s="16">
        <v>2.1</v>
      </c>
      <c r="C18" s="16" t="s">
        <v>180</v>
      </c>
    </row>
    <row r="19" spans="1:8" x14ac:dyDescent="0.3">
      <c r="A19" s="16" t="s">
        <v>10</v>
      </c>
      <c r="B19" s="16">
        <v>6.7</v>
      </c>
      <c r="C19" s="16" t="s">
        <v>101</v>
      </c>
    </row>
    <row r="20" spans="1:8" x14ac:dyDescent="0.3">
      <c r="A20" s="16" t="s">
        <v>103</v>
      </c>
      <c r="B20" s="16">
        <v>0.15</v>
      </c>
      <c r="C20" s="16" t="s">
        <v>26</v>
      </c>
    </row>
    <row r="21" spans="1:8" x14ac:dyDescent="0.3">
      <c r="A21" s="16" t="s">
        <v>104</v>
      </c>
      <c r="B21" s="16">
        <v>0.2</v>
      </c>
      <c r="C21" s="16" t="s">
        <v>26</v>
      </c>
    </row>
    <row r="22" spans="1:8" x14ac:dyDescent="0.3">
      <c r="A22" s="16" t="s">
        <v>14</v>
      </c>
      <c r="B22" s="16">
        <v>0.11</v>
      </c>
      <c r="C22" s="16" t="s">
        <v>26</v>
      </c>
    </row>
    <row r="23" spans="1:8" x14ac:dyDescent="0.3">
      <c r="A23" s="16" t="s">
        <v>15</v>
      </c>
      <c r="B23" s="16">
        <v>0.3</v>
      </c>
      <c r="C23" s="16" t="s">
        <v>101</v>
      </c>
    </row>
    <row r="24" spans="1:8" x14ac:dyDescent="0.3">
      <c r="A24" s="16" t="s">
        <v>105</v>
      </c>
      <c r="B24" s="16">
        <v>1.67</v>
      </c>
      <c r="C24" s="16" t="s">
        <v>106</v>
      </c>
    </row>
    <row r="25" spans="1:8" x14ac:dyDescent="0.3">
      <c r="A25" s="16" t="s">
        <v>107</v>
      </c>
      <c r="B25" s="16">
        <v>16</v>
      </c>
      <c r="C25" s="16" t="s">
        <v>101</v>
      </c>
    </row>
    <row r="26" spans="1:8" x14ac:dyDescent="0.3">
      <c r="A26" s="16" t="s">
        <v>181</v>
      </c>
      <c r="B26" s="16">
        <v>26.7</v>
      </c>
      <c r="C26" s="16" t="s">
        <v>101</v>
      </c>
    </row>
    <row r="27" spans="1:8" x14ac:dyDescent="0.3">
      <c r="A27" s="16" t="s">
        <v>108</v>
      </c>
      <c r="B27" s="16">
        <v>0.8</v>
      </c>
      <c r="C27" s="16" t="s">
        <v>26</v>
      </c>
    </row>
    <row r="28" spans="1:8" x14ac:dyDescent="0.3">
      <c r="A28" s="16" t="s">
        <v>109</v>
      </c>
      <c r="B28" s="16">
        <v>4</v>
      </c>
      <c r="C28" s="16" t="s">
        <v>101</v>
      </c>
    </row>
    <row r="29" spans="1:8" x14ac:dyDescent="0.3">
      <c r="A29" s="16" t="s">
        <v>23</v>
      </c>
      <c r="B29" s="16">
        <v>14</v>
      </c>
      <c r="C29" s="16" t="s">
        <v>26</v>
      </c>
    </row>
    <row r="30" spans="1:8" ht="16.5" customHeight="1" x14ac:dyDescent="0.3">
      <c r="A30" s="16" t="s">
        <v>25</v>
      </c>
      <c r="B30" s="16">
        <v>32.1</v>
      </c>
      <c r="C30" s="16" t="s">
        <v>26</v>
      </c>
      <c r="F30" s="16"/>
      <c r="G30" s="16"/>
      <c r="H30" s="16"/>
    </row>
    <row r="31" spans="1:8" ht="16.5" customHeight="1" x14ac:dyDescent="0.3">
      <c r="A31" s="16" t="s">
        <v>27</v>
      </c>
      <c r="B31" s="16">
        <v>25</v>
      </c>
      <c r="C31" s="16" t="s">
        <v>26</v>
      </c>
      <c r="F31" s="16"/>
      <c r="G31" s="16"/>
      <c r="H31" s="16"/>
    </row>
    <row r="32" spans="1:8" x14ac:dyDescent="0.3">
      <c r="A32" s="16"/>
      <c r="B32" s="16"/>
      <c r="C32" s="16"/>
    </row>
    <row r="33" spans="1:8" ht="15.6" x14ac:dyDescent="0.3">
      <c r="A33" s="21" t="s">
        <v>112</v>
      </c>
      <c r="B33" s="22"/>
      <c r="C33" s="22"/>
    </row>
    <row r="34" spans="1:8" x14ac:dyDescent="0.3">
      <c r="A34" s="16" t="s">
        <v>32</v>
      </c>
      <c r="B34" s="16">
        <v>90</v>
      </c>
      <c r="C34" s="16" t="s">
        <v>26</v>
      </c>
    </row>
    <row r="35" spans="1:8" x14ac:dyDescent="0.3">
      <c r="A35" s="16" t="s">
        <v>34</v>
      </c>
      <c r="B35" s="16">
        <v>45</v>
      </c>
      <c r="C35" s="16" t="s">
        <v>26</v>
      </c>
    </row>
    <row r="36" spans="1:8" x14ac:dyDescent="0.3">
      <c r="A36" s="16" t="s">
        <v>36</v>
      </c>
      <c r="B36" s="16">
        <v>9</v>
      </c>
      <c r="C36" s="16" t="s">
        <v>26</v>
      </c>
    </row>
    <row r="37" spans="1:8" x14ac:dyDescent="0.3">
      <c r="A37" s="16" t="s">
        <v>38</v>
      </c>
      <c r="B37" s="16">
        <v>1.2</v>
      </c>
      <c r="C37" s="16" t="s">
        <v>26</v>
      </c>
    </row>
    <row r="38" spans="1:8" x14ac:dyDescent="0.3">
      <c r="A38" s="16" t="s">
        <v>40</v>
      </c>
      <c r="B38" s="16">
        <v>0.8</v>
      </c>
      <c r="C38" s="16" t="s">
        <v>26</v>
      </c>
    </row>
    <row r="39" spans="1:8" x14ac:dyDescent="0.3">
      <c r="A39" s="16" t="s">
        <v>42</v>
      </c>
      <c r="B39" s="16">
        <v>6.0000000000000001E-3</v>
      </c>
      <c r="C39" s="16" t="s">
        <v>26</v>
      </c>
    </row>
    <row r="40" spans="1:8" x14ac:dyDescent="0.3">
      <c r="A40" s="16" t="s">
        <v>45</v>
      </c>
      <c r="B40" s="116">
        <v>7.4999999999999997E-2</v>
      </c>
      <c r="C40" s="16" t="s">
        <v>26</v>
      </c>
    </row>
    <row r="41" spans="1:8" x14ac:dyDescent="0.3">
      <c r="A41" s="16" t="s">
        <v>47</v>
      </c>
      <c r="B41" s="16">
        <v>19</v>
      </c>
      <c r="C41" s="16" t="s">
        <v>101</v>
      </c>
    </row>
    <row r="42" spans="1:8" x14ac:dyDescent="0.3">
      <c r="A42" s="16" t="s">
        <v>49</v>
      </c>
      <c r="B42" s="122">
        <v>6</v>
      </c>
      <c r="C42" s="16" t="s">
        <v>101</v>
      </c>
    </row>
    <row r="43" spans="1:8" x14ac:dyDescent="0.3">
      <c r="A43" s="16" t="s">
        <v>51</v>
      </c>
      <c r="B43" s="122">
        <v>4</v>
      </c>
      <c r="C43" s="16" t="s">
        <v>101</v>
      </c>
    </row>
    <row r="44" spans="1:8" x14ac:dyDescent="0.3">
      <c r="A44" s="16" t="s">
        <v>53</v>
      </c>
      <c r="B44" s="16">
        <v>3.75</v>
      </c>
      <c r="C44" s="16" t="s">
        <v>101</v>
      </c>
    </row>
    <row r="45" spans="1:8" x14ac:dyDescent="0.3">
      <c r="A45" s="16" t="s">
        <v>55</v>
      </c>
      <c r="B45" s="16">
        <v>37</v>
      </c>
      <c r="C45" s="16" t="s">
        <v>26</v>
      </c>
    </row>
    <row r="46" spans="1:8" x14ac:dyDescent="0.3">
      <c r="A46" s="16" t="s">
        <v>57</v>
      </c>
      <c r="B46" s="16">
        <v>111</v>
      </c>
      <c r="C46" s="16" t="s">
        <v>26</v>
      </c>
    </row>
    <row r="47" spans="1:8" x14ac:dyDescent="0.3">
      <c r="A47" s="16" t="s">
        <v>60</v>
      </c>
      <c r="B47" s="16">
        <v>75</v>
      </c>
      <c r="C47" s="16" t="s">
        <v>26</v>
      </c>
    </row>
    <row r="48" spans="1:8" x14ac:dyDescent="0.3">
      <c r="A48" s="16"/>
      <c r="B48" s="16"/>
      <c r="C48" s="16"/>
      <c r="F48" s="16"/>
      <c r="G48" s="16"/>
      <c r="H48" s="16"/>
    </row>
    <row r="49" spans="1:8" ht="16.5" customHeight="1" x14ac:dyDescent="0.3">
      <c r="A49" s="166" t="s">
        <v>186</v>
      </c>
      <c r="B49" s="167"/>
      <c r="C49" s="167"/>
      <c r="F49" s="16"/>
      <c r="G49" s="16"/>
      <c r="H49" s="16"/>
    </row>
    <row r="50" spans="1:8" ht="16.5" customHeight="1" x14ac:dyDescent="0.3">
      <c r="A50" s="101" t="s">
        <v>56</v>
      </c>
      <c r="B50" s="16">
        <v>85</v>
      </c>
      <c r="C50" s="16" t="s">
        <v>187</v>
      </c>
      <c r="F50" s="16"/>
      <c r="G50" s="16"/>
      <c r="H50" s="16"/>
    </row>
    <row r="51" spans="1:8" x14ac:dyDescent="0.3">
      <c r="F51" s="16"/>
      <c r="G51" s="16"/>
      <c r="H51" s="16"/>
    </row>
    <row r="52" spans="1:8" x14ac:dyDescent="0.3">
      <c r="A52" s="119" t="s">
        <v>182</v>
      </c>
      <c r="B52" s="120"/>
      <c r="C52" s="120"/>
    </row>
    <row r="53" spans="1:8" x14ac:dyDescent="0.3">
      <c r="A53" s="16" t="s">
        <v>183</v>
      </c>
      <c r="B53" s="16">
        <v>10</v>
      </c>
    </row>
    <row r="54" spans="1:8" x14ac:dyDescent="0.3">
      <c r="A54" s="16"/>
    </row>
  </sheetData>
  <pageMargins left="0.7" right="0.7" top="0.75" bottom="0.75" header="0.3" footer="0.3"/>
  <legacyDrawing r:id="rId1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_rels/item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.xml"/></Relationships>
</file>

<file path=customXml/_rels/item3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3.xml"/></Relationships>
</file>

<file path=customXml/item1.xml><?xml version="1.0" encoding="utf-8"?>
<?mso-contentType ?>
<FormTemplates xmlns="http://schemas.microsoft.com/sharepoint/v3/contenttype/forms">
  <Display>DocumentLibraryForm</Display>
  <Edit>DocumentLibraryForm</Edit>
  <New>DocumentLibraryForm</New>
</FormTemplates>
</file>

<file path=customXml/item2.xml><?xml version="1.0" encoding="utf-8"?>
<ct:contentTypeSchema xmlns:ct="http://schemas.microsoft.com/office/2006/metadata/contentType" xmlns:ma="http://schemas.microsoft.com/office/2006/metadata/properties/metaAttributes" ct:_="" ma:_="" ma:contentTypeName="Document" ma:contentTypeID="0x0101005656C0F184C1A2428FF48C62F6D3B533" ma:contentTypeVersion="13" ma:contentTypeDescription="Create a new document." ma:contentTypeScope="" ma:versionID="44539d4c16f0a2346d48a72c3d3c7517">
  <xsd:schema xmlns:xsd="http://www.w3.org/2001/XMLSchema" xmlns:xs="http://www.w3.org/2001/XMLSchema" xmlns:p="http://schemas.microsoft.com/office/2006/metadata/properties" xmlns:ns3="7a01de10-919b-4d96-a200-2a6070fecc09" xmlns:ns4="a4656a32-b829-492b-a569-88b303e3f4d5" targetNamespace="http://schemas.microsoft.com/office/2006/metadata/properties" ma:root="true" ma:fieldsID="f2904059c76a8add9543008ed6bdbb20" ns3:_="" ns4:_="">
    <xsd:import namespace="7a01de10-919b-4d96-a200-2a6070fecc09"/>
    <xsd:import namespace="a4656a32-b829-492b-a569-88b303e3f4d5"/>
    <xsd:element name="properties">
      <xsd:complexType>
        <xsd:sequence>
          <xsd:element name="documentManagement">
            <xsd:complexType>
              <xsd:all>
                <xsd:element ref="ns3:MediaServiceMetadata" minOccurs="0"/>
                <xsd:element ref="ns3:MediaServiceFastMetadata" minOccurs="0"/>
                <xsd:element ref="ns3:MediaServiceAutoTags" minOccurs="0"/>
                <xsd:element ref="ns3:MediaServiceDateTaken" minOccurs="0"/>
                <xsd:element ref="ns3:MediaServiceLocation" minOccurs="0"/>
                <xsd:element ref="ns3:MediaServiceOCR" minOccurs="0"/>
                <xsd:element ref="ns3:MediaServiceGenerationTime" minOccurs="0"/>
                <xsd:element ref="ns3:MediaServiceEventHashCode" minOccurs="0"/>
                <xsd:element ref="ns4:SharedWithUsers" minOccurs="0"/>
                <xsd:element ref="ns4:SharedWithDetails" minOccurs="0"/>
                <xsd:element ref="ns4:SharingHintHash" minOccurs="0"/>
                <xsd:element ref="ns3:MediaServiceAutoKeyPoints" minOccurs="0"/>
                <xsd:element ref="ns3:MediaServiceKeyPoints" minOccurs="0"/>
              </xsd:all>
            </xsd:complexType>
          </xsd:element>
        </xsd:sequence>
      </xsd:complex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7a01de10-919b-4d96-a200-2a6070fecc09" elementFormDefault="qualified">
    <xsd:import namespace="http://schemas.microsoft.com/office/2006/documentManagement/types"/>
    <xsd:import namespace="http://schemas.microsoft.com/office/infopath/2007/PartnerControls"/>
    <xsd:element name="MediaServiceMetadata" ma:index="8" nillable="true" ma:displayName="MediaServiceMetadata" ma:description="" ma:hidden="true" ma:internalName="MediaServiceMetadata" ma:readOnly="true">
      <xsd:simpleType>
        <xsd:restriction base="dms:Note"/>
      </xsd:simpleType>
    </xsd:element>
    <xsd:element name="MediaServiceFastMetadata" ma:index="9" nillable="true" ma:displayName="MediaServiceFastMetadata" ma:description="" ma:hidden="true" ma:internalName="MediaServiceFastMetadata" ma:readOnly="true">
      <xsd:simpleType>
        <xsd:restriction base="dms:Note"/>
      </xsd:simpleType>
    </xsd:element>
    <xsd:element name="MediaServiceAutoTags" ma:index="10" nillable="true" ma:displayName="MediaServiceAutoTags" ma:description="" ma:internalName="MediaServiceAutoTags" ma:readOnly="true">
      <xsd:simpleType>
        <xsd:restriction base="dms:Text"/>
      </xsd:simpleType>
    </xsd:element>
    <xsd:element name="MediaServiceDateTaken" ma:index="11" nillable="true" ma:displayName="MediaServiceDateTaken" ma:hidden="true" ma:internalName="MediaServiceDateTaken" ma:readOnly="true">
      <xsd:simpleType>
        <xsd:restriction base="dms:Text"/>
      </xsd:simpleType>
    </xsd:element>
    <xsd:element name="MediaServiceLocation" ma:index="12" nillable="true" ma:displayName="MediaServiceLocation" ma:internalName="MediaServiceLocation" ma:readOnly="true">
      <xsd:simpleType>
        <xsd:restriction base="dms:Text"/>
      </xsd:simpleType>
    </xsd:element>
    <xsd:element name="MediaServiceOCR" ma:index="13" nillable="true" ma:displayName="MediaServiceOCR" ma:internalName="MediaServiceOCR" ma:readOnly="true">
      <xsd:simpleType>
        <xsd:restriction base="dms:Note">
          <xsd:maxLength value="255"/>
        </xsd:restriction>
      </xsd:simpleType>
    </xsd:element>
    <xsd:element name="MediaServiceGenerationTime" ma:index="14" nillable="true" ma:displayName="MediaServiceGenerationTime" ma:hidden="true" ma:internalName="MediaServiceGenerationTime" ma:readOnly="true">
      <xsd:simpleType>
        <xsd:restriction base="dms:Text"/>
      </xsd:simpleType>
    </xsd:element>
    <xsd:element name="MediaServiceEventHashCode" ma:index="15" nillable="true" ma:displayName="MediaServiceEventHashCode" ma:hidden="true" ma:internalName="MediaServiceEventHashCode" ma:readOnly="true">
      <xsd:simpleType>
        <xsd:restriction base="dms:Text"/>
      </xsd:simpleType>
    </xsd:element>
    <xsd:element name="MediaServiceAutoKeyPoints" ma:index="19" nillable="true" ma:displayName="MediaServiceAutoKeyPoints" ma:hidden="true" ma:internalName="MediaServiceAutoKeyPoints" ma:readOnly="true">
      <xsd:simpleType>
        <xsd:restriction base="dms:Note"/>
      </xsd:simpleType>
    </xsd:element>
    <xsd:element name="MediaServiceKeyPoints" ma:index="20" nillable="true" ma:displayName="KeyPoints" ma:internalName="MediaServiceKeyPoints" ma:readOnly="true">
      <xsd:simpleType>
        <xsd:restriction base="dms:Note">
          <xsd:maxLength value="255"/>
        </xsd:restriction>
      </xsd:simple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a4656a32-b829-492b-a569-88b303e3f4d5" elementFormDefault="qualified">
    <xsd:import namespace="http://schemas.microsoft.com/office/2006/documentManagement/types"/>
    <xsd:import namespace="http://schemas.microsoft.com/office/infopath/2007/PartnerControls"/>
    <xsd:element name="SharedWithUsers" ma:index="16" nillable="true" ma:displayName="Shared With" ma:internalName="SharedWithUsers" ma:readOnly="true">
      <xsd:complexType>
        <xsd:complexContent>
          <xsd:extension base="dms:UserMulti">
            <xsd:sequence>
              <xsd:element name="UserInfo" minOccurs="0" maxOccurs="unbounded">
                <xsd:complexType>
                  <xsd:sequence>
                    <xsd:element name="DisplayName" type="xsd:string" minOccurs="0"/>
                    <xsd:element name="AccountId" type="dms:UserId" minOccurs="0" nillable="true"/>
                    <xsd:element name="AccountType" type="xsd:string" minOccurs="0"/>
                  </xsd:sequence>
                </xsd:complexType>
              </xsd:element>
            </xsd:sequence>
          </xsd:extension>
        </xsd:complexContent>
      </xsd:complexType>
    </xsd:element>
    <xsd:element name="SharedWithDetails" ma:index="17" nillable="true" ma:displayName="Shared With Details" ma:internalName="SharedWithDetails" ma:readOnly="true">
      <xsd:simpleType>
        <xsd:restriction base="dms:Note">
          <xsd:maxLength value="255"/>
        </xsd:restriction>
      </xsd:simpleType>
    </xsd:element>
    <xsd:element name="SharingHintHash" ma:index="18" nillable="true" ma:displayName="Sharing Hint Hash" ma:hidden="true" ma:internalName="SharingHintHash" ma:readOnly="true">
      <xsd:simpleType>
        <xsd:restriction base="dms:Text"/>
      </xsd:simpleType>
    </xsd:element>
  </xsd:schema>
  <xsd:schema xmlns="http://schemas.openxmlformats.org/package/2006/metadata/core-properties" xmlns:xsd="http://www.w3.org/2001/XMLSchema" xmlns:xsi="http://www.w3.org/2001/XMLSchema-instance" xmlns:dc="http://purl.org/dc/elements/1.1/" xmlns:dcterms="http://purl.org/dc/terms/" xmlns:odoc="http://schemas.microsoft.com/internal/obd" targetNamespace="http://schemas.openxmlformats.org/package/2006/metadata/core-properties" elementFormDefault="qualified" attributeFormDefault="unqualified" blockDefault="#all">
    <xsd:import namespace="http://purl.org/dc/elements/1.1/" schemaLocation="http://dublincore.org/schemas/xmls/qdc/2003/04/02/dc.xsd"/>
    <xsd:import namespace="http://purl.org/dc/terms/" schemaLocation="http://dublincore.org/schemas/xmls/qdc/2003/04/02/dcterms.xsd"/>
    <xsd:element name="coreProperties" type="CT_coreProperties"/>
    <xsd:complexType name="CT_coreProperties">
      <xsd:all>
        <xsd:element ref="dc:creator" minOccurs="0" maxOccurs="1"/>
        <xsd:element ref="dcterms:created" minOccurs="0" maxOccurs="1"/>
        <xsd:element ref="dc:identifier" minOccurs="0" maxOccurs="1"/>
        <xsd:element name="contentType" minOccurs="0" maxOccurs="1" type="xsd:string" ma:index="0" ma:displayName="Content Type"/>
        <xsd:element ref="dc:title" minOccurs="0" maxOccurs="1" ma:index="4" ma:displayName="Title"/>
        <xsd:element ref="dc:subject" minOccurs="0" maxOccurs="1"/>
        <xsd:element ref="dc:description" minOccurs="0" maxOccurs="1"/>
        <xsd:element name="keywords" minOccurs="0" maxOccurs="1" type="xsd:string"/>
        <xsd:element ref="dc:language" minOccurs="0" maxOccurs="1"/>
        <xsd:element name="category" minOccurs="0" maxOccurs="1" type="xsd:string"/>
        <xsd:element name="version" minOccurs="0" maxOccurs="1" type="xsd:string"/>
        <xsd:element name="revision" minOccurs="0" maxOccurs="1" type="xsd:string">
          <xsd:annotation>
            <xsd:documentation>
                        This value indicates the number of saves or revisions. The application is responsible for updating this value after each revision.
                    </xsd:documentation>
          </xsd:annotation>
        </xsd:element>
        <xsd:element name="lastModifiedBy" minOccurs="0" maxOccurs="1" type="xsd:string"/>
        <xsd:element ref="dcterms:modified" minOccurs="0" maxOccurs="1"/>
        <xsd:element name="contentStatus" minOccurs="0" maxOccurs="1" type="xsd:string"/>
      </xsd:all>
    </xsd:complexType>
  </xsd:schema>
  <xs:schema xmlns:pc="http://schemas.microsoft.com/office/infopath/2007/PartnerControls" xmlns:xs="http://www.w3.org/2001/XMLSchema" targetNamespace="http://schemas.microsoft.com/office/infopath/2007/PartnerControls" elementFormDefault="qualified" attributeFormDefault="unqualified">
    <xs:element name="Person">
      <xs:complexType>
        <xs:sequence>
          <xs:element ref="pc:DisplayName" minOccurs="0"/>
          <xs:element ref="pc:AccountId" minOccurs="0"/>
          <xs:element ref="pc:AccountType" minOccurs="0"/>
        </xs:sequence>
      </xs:complexType>
    </xs:element>
    <xs:element name="DisplayName" type="xs:string"/>
    <xs:element name="AccountId" type="xs:string"/>
    <xs:element name="AccountType" type="xs:string"/>
    <xs:element name="BDCAssociatedEntity">
      <xs:complexType>
        <xs:sequence>
          <xs:element ref="pc:BDCEntity" minOccurs="0" maxOccurs="unbounded"/>
        </xs:sequence>
        <xs:attribute ref="pc:EntityNamespace"/>
        <xs:attribute ref="pc:EntityName"/>
        <xs:attribute ref="pc:SystemInstanceName"/>
        <xs:attribute ref="pc:AssociationName"/>
      </xs:complexType>
    </xs:element>
    <xs:attribute name="EntityNamespace" type="xs:string"/>
    <xs:attribute name="EntityName" type="xs:string"/>
    <xs:attribute name="SystemInstanceName" type="xs:string"/>
    <xs:attribute name="AssociationName" type="xs:string"/>
    <xs:element name="BDCEntity">
      <xs:complexType>
        <xs:sequence>
          <xs:element ref="pc:EntityDisplayName" minOccurs="0"/>
          <xs:element ref="pc:EntityInstanceReference" minOccurs="0"/>
          <xs:element ref="pc:EntityId1" minOccurs="0"/>
          <xs:element ref="pc:EntityId2" minOccurs="0"/>
          <xs:element ref="pc:EntityId3" minOccurs="0"/>
          <xs:element ref="pc:EntityId4" minOccurs="0"/>
          <xs:element ref="pc:EntityId5" minOccurs="0"/>
        </xs:sequence>
      </xs:complexType>
    </xs:element>
    <xs:element name="EntityDisplayName" type="xs:string"/>
    <xs:element name="EntityInstanceReference" type="xs:string"/>
    <xs:element name="EntityId1" type="xs:string"/>
    <xs:element name="EntityId2" type="xs:string"/>
    <xs:element name="EntityId3" type="xs:string"/>
    <xs:element name="EntityId4" type="xs:string"/>
    <xs:element name="EntityId5" type="xs:string"/>
    <xs:element name="Terms">
      <xs:complexType>
        <xs:sequence>
          <xs:element ref="pc:TermInfo" minOccurs="0" maxOccurs="unbounded"/>
        </xs:sequence>
      </xs:complexType>
    </xs:element>
    <xs:element name="TermInfo">
      <xs:complexType>
        <xs:sequence>
          <xs:element ref="pc:TermName" minOccurs="0"/>
          <xs:element ref="pc:TermId" minOccurs="0"/>
        </xs:sequence>
      </xs:complexType>
    </xs:element>
    <xs:element name="TermName" type="xs:string"/>
    <xs:element name="TermId" type="xs:string"/>
  </xs:schema>
</ct:contentTypeSchema>
</file>

<file path=customXml/item3.xml><?xml version="1.0" encoding="utf-8"?>
<p:properties xmlns:p="http://schemas.microsoft.com/office/2006/metadata/properties" xmlns:xsi="http://www.w3.org/2001/XMLSchema-instance" xmlns:pc="http://schemas.microsoft.com/office/infopath/2007/PartnerControls">
  <documentManagement/>
</p:properties>
</file>

<file path=customXml/itemProps1.xml><?xml version="1.0" encoding="utf-8"?>
<ds:datastoreItem xmlns:ds="http://schemas.openxmlformats.org/officeDocument/2006/customXml" ds:itemID="{9BF8AF66-3AFE-4687-A17B-57062D5CCE1F}">
  <ds:schemaRefs>
    <ds:schemaRef ds:uri="http://schemas.microsoft.com/sharepoint/v3/contenttype/forms"/>
  </ds:schemaRefs>
</ds:datastoreItem>
</file>

<file path=customXml/itemProps2.xml><?xml version="1.0" encoding="utf-8"?>
<ds:datastoreItem xmlns:ds="http://schemas.openxmlformats.org/officeDocument/2006/customXml" ds:itemID="{CA3D83C5-53B4-4ACE-A7B4-412FF7E422A5}">
  <ds:schemaRefs>
    <ds:schemaRef ds:uri="http://schemas.microsoft.com/office/2006/metadata/contentType"/>
    <ds:schemaRef ds:uri="http://schemas.microsoft.com/office/2006/metadata/properties/metaAttributes"/>
    <ds:schemaRef ds:uri="http://www.w3.org/2001/XMLSchema"/>
    <ds:schemaRef ds:uri="http://schemas.microsoft.com/office/2006/metadata/properties"/>
    <ds:schemaRef ds:uri="7a01de10-919b-4d96-a200-2a6070fecc09"/>
    <ds:schemaRef ds:uri="a4656a32-b829-492b-a569-88b303e3f4d5"/>
    <ds:schemaRef ds:uri="http://schemas.microsoft.com/office/2006/documentManagement/types"/>
    <ds:schemaRef ds:uri="http://schemas.microsoft.com/office/infopath/2007/PartnerControls"/>
    <ds:schemaRef ds:uri="http://schemas.openxmlformats.org/package/2006/metadata/core-properties"/>
    <ds:schemaRef ds:uri="http://purl.org/dc/elements/1.1/"/>
    <ds:schemaRef ds:uri="http://purl.org/dc/terms/"/>
    <ds:schemaRef ds:uri="http://schemas.microsoft.com/internal/obd"/>
  </ds:schemaRefs>
</ds:datastoreItem>
</file>

<file path=customXml/itemProps3.xml><?xml version="1.0" encoding="utf-8"?>
<ds:datastoreItem xmlns:ds="http://schemas.openxmlformats.org/officeDocument/2006/customXml" ds:itemID="{6D509590-B3D6-48D3-B8B9-8693B0AC97CD}">
  <ds:schemaRefs>
    <ds:schemaRef ds:uri="http://purl.org/dc/elements/1.1/"/>
    <ds:schemaRef ds:uri="http://schemas.microsoft.com/office/2006/metadata/properties"/>
    <ds:schemaRef ds:uri="http://schemas.microsoft.com/office/2006/documentManagement/types"/>
    <ds:schemaRef ds:uri="a4656a32-b829-492b-a569-88b303e3f4d5"/>
    <ds:schemaRef ds:uri="http://purl.org/dc/terms/"/>
    <ds:schemaRef ds:uri="http://schemas.openxmlformats.org/package/2006/metadata/core-properties"/>
    <ds:schemaRef ds:uri="7a01de10-919b-4d96-a200-2a6070fecc09"/>
    <ds:schemaRef ds:uri="http://purl.org/dc/dcmitype/"/>
    <ds:schemaRef ds:uri="http://schemas.microsoft.com/office/infopath/2007/PartnerControls"/>
    <ds:schemaRef ds:uri="http://www.w3.org/XML/1998/namespace"/>
  </ds:schemaRefs>
</ds:datastoreItem>
</file>

<file path=docProps/app.xml><?xml version="1.0" encoding="utf-8"?>
<Properties xmlns="http://schemas.openxmlformats.org/officeDocument/2006/extended-properties" xmlns:vt="http://schemas.openxmlformats.org/officeDocument/2006/docPropsVTypes">
  <TotalTime>0</TotalTime>
  <Application>Microsoft Excel</Application>
  <DocSecurity>0</DocSecurity>
  <ScaleCrop>false</ScaleCrop>
  <HeadingPairs>
    <vt:vector size="4" baseType="variant">
      <vt:variant>
        <vt:lpstr>Worksheets</vt:lpstr>
      </vt:variant>
      <vt:variant>
        <vt:i4>17</vt:i4>
      </vt:variant>
      <vt:variant>
        <vt:lpstr>Named Ranges</vt:lpstr>
      </vt:variant>
      <vt:variant>
        <vt:i4>1</vt:i4>
      </vt:variant>
    </vt:vector>
  </HeadingPairs>
  <TitlesOfParts>
    <vt:vector size="18" baseType="lpstr">
      <vt:lpstr>Infatrini Calculator desktop</vt:lpstr>
      <vt:lpstr>List_Validations_Cross_Ref</vt:lpstr>
      <vt:lpstr>Neocate LCP</vt:lpstr>
      <vt:lpstr>Neocate Spoon</vt:lpstr>
      <vt:lpstr>Neocate Junior</vt:lpstr>
      <vt:lpstr>Neocate Syneo</vt:lpstr>
      <vt:lpstr>0-5 maanden</vt:lpstr>
      <vt:lpstr>Infatrini poeder oplossingen</vt:lpstr>
      <vt:lpstr>Sheet1</vt:lpstr>
      <vt:lpstr>nutr demand all ages</vt:lpstr>
      <vt:lpstr>1-3 jaar</vt:lpstr>
      <vt:lpstr> 4-8 jaar</vt:lpstr>
      <vt:lpstr>9-13 jaar</vt:lpstr>
      <vt:lpstr>14-18 jaar</vt:lpstr>
      <vt:lpstr>Infatrini poeder</vt:lpstr>
      <vt:lpstr>Infatrini liquid</vt:lpstr>
      <vt:lpstr>Infatrini peptisorb</vt:lpstr>
      <vt:lpstr>'Infatrini Calculator desktop'!Print_Area</vt:lpstr>
    </vt:vector>
  </TitlesOfParts>
  <Manager/>
  <Company>Danone</Company>
  <LinksUpToDate>false</LinksUpToDate>
  <SharedDoc>false</SharedDoc>
  <HyperlinkBase/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title/>
  <dc:subject/>
  <dc:creator>Jasper VAN PIETERSON</dc:creator>
  <cp:keywords/>
  <dc:description/>
  <cp:lastModifiedBy>VAN VIANEN Sabrina</cp:lastModifiedBy>
  <cp:revision/>
  <dcterms:created xsi:type="dcterms:W3CDTF">2016-03-30T12:56:18Z</dcterms:created>
  <dcterms:modified xsi:type="dcterms:W3CDTF">2023-12-01T15:16:56Z</dcterms:modified>
  <cp:category/>
  <cp:contentStatus/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ContentTypeId">
    <vt:lpwstr>0x0101005656C0F184C1A2428FF48C62F6D3B533</vt:lpwstr>
  </property>
</Properties>
</file>